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a9bc0f04738a15e3/Desktop/Majed/New folder/"/>
    </mc:Choice>
  </mc:AlternateContent>
  <xr:revisionPtr revIDLastSave="115" documentId="13_ncr:1_{BAFC168D-65E1-425C-8EA6-0632EC66FCB9}" xr6:coauthVersionLast="47" xr6:coauthVersionMax="47" xr10:uidLastSave="{D8DEA8FD-1F58-4F58-BC3C-E3DDE74CE3F4}"/>
  <bookViews>
    <workbookView xWindow="38280" yWindow="3525" windowWidth="29040" windowHeight="15720" activeTab="2" xr2:uid="{1EE4A064-C994-4E24-95E5-D88032823A25}"/>
  </bookViews>
  <sheets>
    <sheet name="Outputs" sheetId="13" r:id="rId1"/>
    <sheet name="Inputs" sheetId="3" r:id="rId2"/>
    <sheet name="Model" sheetId="1" r:id="rId3"/>
  </sheets>
  <definedNames>
    <definedName name="_xlchart.v1.0" hidden="1">Outputs!$C$132:$C$137</definedName>
    <definedName name="_xlchart.v1.1" hidden="1">Outputs!$D$132:$D$137</definedName>
    <definedName name="_xlnm.Print_Area" localSheetId="1">Inputs!$B$3:$M$41,Inputs!$B$44:$M$85,Inputs!$B$88:$M$113</definedName>
    <definedName name="_xlnm.Print_Area" localSheetId="2">Model!$B$3:$M$37,Model!$B$40:$O$80,Model!$B$83:$O$114,Model!$B$117:$O$157,Model!$B$160:$M$203,Model!$B$206:$M$232,Model!$B$235:$M$274,Model!$B$277:$M$316,Model!$B$319:$O$356,Model!$B$359:$O$403,Model!#REF!</definedName>
    <definedName name="_xlnm.Print_Area" localSheetId="0">Outputs!$B$23:$Q$107,Outputs!#REF!</definedName>
  </definedNames>
  <calcPr calcId="191029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2" i="1" l="1"/>
  <c r="L80" i="3"/>
  <c r="I51" i="3"/>
  <c r="L51" i="3" s="1"/>
  <c r="L57" i="3" s="1"/>
  <c r="F64" i="3" s="1"/>
  <c r="F65" i="3" s="1"/>
  <c r="J51" i="3"/>
  <c r="I52" i="3"/>
  <c r="L52" i="3" s="1"/>
  <c r="J52" i="3"/>
  <c r="H5" i="1"/>
  <c r="G5" i="1"/>
  <c r="K14" i="1"/>
  <c r="F74" i="3"/>
  <c r="K81" i="3" s="1"/>
  <c r="H5" i="3"/>
  <c r="H93" i="3"/>
  <c r="I456" i="1"/>
  <c r="H456" i="1"/>
  <c r="G456" i="1"/>
  <c r="G98" i="1" l="1"/>
  <c r="F63" i="1"/>
  <c r="H159" i="13"/>
  <c r="I158" i="13" s="1"/>
  <c r="F159" i="13"/>
  <c r="G158" i="13" s="1"/>
  <c r="D159" i="13"/>
  <c r="E158" i="13" s="1"/>
  <c r="H121" i="13"/>
  <c r="F121" i="13"/>
  <c r="G157" i="13" l="1"/>
  <c r="G156" i="13"/>
  <c r="I157" i="13"/>
  <c r="I159" i="13" s="1"/>
  <c r="E156" i="13"/>
  <c r="E157" i="13"/>
  <c r="F50" i="1"/>
  <c r="F53" i="1" s="1"/>
  <c r="F54" i="1" s="1"/>
  <c r="E116" i="13"/>
  <c r="I120" i="13" s="1"/>
  <c r="D116" i="13"/>
  <c r="F17" i="1"/>
  <c r="F18" i="1" s="1"/>
  <c r="F36" i="1" s="1"/>
  <c r="F110" i="1"/>
  <c r="F109" i="1"/>
  <c r="F106" i="1"/>
  <c r="C59" i="1"/>
  <c r="C60" i="1" s="1"/>
  <c r="G66" i="1" s="1"/>
  <c r="G68" i="1" s="1"/>
  <c r="F32" i="1"/>
  <c r="D117" i="13" s="1"/>
  <c r="F31" i="1"/>
  <c r="K80" i="3"/>
  <c r="O75" i="13"/>
  <c r="N77" i="13"/>
  <c r="O77" i="13"/>
  <c r="F100" i="13" s="1"/>
  <c r="O78" i="13"/>
  <c r="O79" i="13"/>
  <c r="F86" i="13"/>
  <c r="G86" i="13" s="1"/>
  <c r="H20" i="13"/>
  <c r="H19" i="13"/>
  <c r="H18" i="13"/>
  <c r="G436" i="1"/>
  <c r="F455" i="1"/>
  <c r="F437" i="1"/>
  <c r="F414" i="1"/>
  <c r="G464" i="1"/>
  <c r="G468" i="1"/>
  <c r="B409" i="1"/>
  <c r="G428" i="1"/>
  <c r="H428" i="1"/>
  <c r="I428" i="1"/>
  <c r="J428" i="1"/>
  <c r="K428" i="1"/>
  <c r="G429" i="1"/>
  <c r="H429" i="1"/>
  <c r="I429" i="1"/>
  <c r="J429" i="1"/>
  <c r="K429" i="1"/>
  <c r="G430" i="1"/>
  <c r="H430" i="1"/>
  <c r="I430" i="1"/>
  <c r="J430" i="1"/>
  <c r="K430" i="1"/>
  <c r="B446" i="1"/>
  <c r="H464" i="1"/>
  <c r="I464" i="1"/>
  <c r="J464" i="1"/>
  <c r="K464" i="1"/>
  <c r="H468" i="1"/>
  <c r="I468" i="1"/>
  <c r="J468" i="1"/>
  <c r="K468" i="1"/>
  <c r="G159" i="13" l="1"/>
  <c r="E159" i="13"/>
  <c r="F66" i="1"/>
  <c r="F68" i="1" s="1"/>
  <c r="H116" i="13"/>
  <c r="F116" i="13"/>
  <c r="F77" i="1"/>
  <c r="D120" i="13"/>
  <c r="F111" i="1"/>
  <c r="F33" i="1"/>
  <c r="F93" i="1" s="1"/>
  <c r="D118" i="13" s="1"/>
  <c r="F51" i="1"/>
  <c r="F73" i="1" s="1"/>
  <c r="H101" i="13"/>
  <c r="P88" i="13" s="1"/>
  <c r="P101" i="13" s="1"/>
  <c r="E86" i="13"/>
  <c r="D86" i="13" s="1"/>
  <c r="L86" i="13" s="1"/>
  <c r="D102" i="13"/>
  <c r="L89" i="13" s="1"/>
  <c r="L102" i="13" s="1"/>
  <c r="G78" i="13"/>
  <c r="H78" i="13" s="1"/>
  <c r="E100" i="13"/>
  <c r="M87" i="13" s="1"/>
  <c r="M100" i="13" s="1"/>
  <c r="E104" i="13"/>
  <c r="M91" i="13" s="1"/>
  <c r="M104" i="13" s="1"/>
  <c r="D100" i="13"/>
  <c r="L87" i="13" s="1"/>
  <c r="L100" i="13" s="1"/>
  <c r="F99" i="13"/>
  <c r="N99" i="13" s="1"/>
  <c r="D104" i="13"/>
  <c r="L91" i="13" s="1"/>
  <c r="L104" i="13" s="1"/>
  <c r="H103" i="13"/>
  <c r="P90" i="13" s="1"/>
  <c r="P103" i="13" s="1"/>
  <c r="E102" i="13"/>
  <c r="M89" i="13" s="1"/>
  <c r="M102" i="13" s="1"/>
  <c r="N87" i="13"/>
  <c r="N100" i="13" s="1"/>
  <c r="N86" i="13"/>
  <c r="H86" i="13"/>
  <c r="O86" i="13"/>
  <c r="G99" i="13"/>
  <c r="O99" i="13" s="1"/>
  <c r="F101" i="13"/>
  <c r="N88" i="13" s="1"/>
  <c r="N101" i="13" s="1"/>
  <c r="E103" i="13"/>
  <c r="M90" i="13" s="1"/>
  <c r="M103" i="13" s="1"/>
  <c r="E101" i="13"/>
  <c r="M88" i="13" s="1"/>
  <c r="M101" i="13" s="1"/>
  <c r="G77" i="13"/>
  <c r="H77" i="13" s="1"/>
  <c r="G103" i="13"/>
  <c r="O90" i="13" s="1"/>
  <c r="O103" i="13" s="1"/>
  <c r="G101" i="13"/>
  <c r="O88" i="13" s="1"/>
  <c r="O101" i="13" s="1"/>
  <c r="H102" i="13"/>
  <c r="P89" i="13" s="1"/>
  <c r="P102" i="13" s="1"/>
  <c r="F103" i="13"/>
  <c r="N90" i="13" s="1"/>
  <c r="N103" i="13" s="1"/>
  <c r="H104" i="13"/>
  <c r="P91" i="13" s="1"/>
  <c r="P104" i="13" s="1"/>
  <c r="D103" i="13"/>
  <c r="L90" i="13" s="1"/>
  <c r="L103" i="13" s="1"/>
  <c r="D101" i="13"/>
  <c r="L88" i="13" s="1"/>
  <c r="L101" i="13" s="1"/>
  <c r="H100" i="13"/>
  <c r="P87" i="13" s="1"/>
  <c r="P100" i="13" s="1"/>
  <c r="G79" i="13"/>
  <c r="H79" i="13" s="1"/>
  <c r="G104" i="13"/>
  <c r="O91" i="13" s="1"/>
  <c r="O104" i="13" s="1"/>
  <c r="G102" i="13"/>
  <c r="O89" i="13" s="1"/>
  <c r="O102" i="13" s="1"/>
  <c r="G100" i="13"/>
  <c r="O87" i="13" s="1"/>
  <c r="O100" i="13" s="1"/>
  <c r="F104" i="13"/>
  <c r="N91" i="13" s="1"/>
  <c r="N104" i="13" s="1"/>
  <c r="F102" i="13"/>
  <c r="N89" i="13" s="1"/>
  <c r="N102" i="13" s="1"/>
  <c r="H21" i="13"/>
  <c r="J120" i="13" l="1"/>
  <c r="K120" i="13" s="1"/>
  <c r="D135" i="13" s="1"/>
  <c r="J116" i="13"/>
  <c r="D133" i="13" s="1"/>
  <c r="F78" i="1"/>
  <c r="F79" i="1" s="1"/>
  <c r="F94" i="1" s="1"/>
  <c r="F95" i="1" s="1"/>
  <c r="D99" i="13"/>
  <c r="L99" i="13" s="1"/>
  <c r="E99" i="13"/>
  <c r="M99" i="13" s="1"/>
  <c r="M86" i="13"/>
  <c r="P86" i="13"/>
  <c r="H99" i="13"/>
  <c r="P99" i="13" s="1"/>
  <c r="N343" i="1"/>
  <c r="I181" i="1"/>
  <c r="D170" i="1"/>
  <c r="G130" i="1"/>
  <c r="J36" i="3"/>
  <c r="L74" i="3"/>
  <c r="F98" i="3"/>
  <c r="H364" i="1"/>
  <c r="H365" i="1" s="1"/>
  <c r="N321" i="1"/>
  <c r="M344" i="1"/>
  <c r="N344" i="1"/>
  <c r="M398" i="1"/>
  <c r="G31" i="1"/>
  <c r="G45" i="1" s="1"/>
  <c r="G17" i="1"/>
  <c r="C364" i="1"/>
  <c r="F99" i="3"/>
  <c r="D75" i="3"/>
  <c r="E77" i="3" s="1"/>
  <c r="H58" i="3"/>
  <c r="H57" i="3"/>
  <c r="H398" i="1"/>
  <c r="H387" i="1"/>
  <c r="H373" i="1"/>
  <c r="H262" i="1"/>
  <c r="I259" i="1" s="1"/>
  <c r="F64" i="1" l="1"/>
  <c r="F74" i="1" s="1"/>
  <c r="F75" i="1" s="1"/>
  <c r="G53" i="1"/>
  <c r="G63" i="1"/>
  <c r="J126" i="13"/>
  <c r="D123" i="13"/>
  <c r="D124" i="13" s="1"/>
  <c r="G62" i="1"/>
  <c r="F75" i="3"/>
  <c r="F77" i="3"/>
  <c r="H304" i="1"/>
  <c r="I301" i="1" s="1"/>
  <c r="I365" i="1"/>
  <c r="I383" i="1" s="1"/>
  <c r="I364" i="1"/>
  <c r="G64" i="1" l="1"/>
  <c r="J364" i="1"/>
  <c r="J376" i="1" s="1"/>
  <c r="E75" i="3"/>
  <c r="H380" i="1"/>
  <c r="K58" i="3" l="1"/>
  <c r="K57" i="3"/>
  <c r="I132" i="1" l="1"/>
  <c r="I131" i="1"/>
  <c r="I130" i="1"/>
  <c r="J130" i="1"/>
  <c r="K130" i="1"/>
  <c r="C91" i="1"/>
  <c r="K46" i="1"/>
  <c r="G327" i="1" l="1"/>
  <c r="K132" i="1"/>
  <c r="J132" i="1"/>
  <c r="H132" i="1"/>
  <c r="K131" i="1"/>
  <c r="J131" i="1"/>
  <c r="H131" i="1"/>
  <c r="H130" i="1"/>
  <c r="D176" i="1"/>
  <c r="I176" i="1" s="1"/>
  <c r="D175" i="1"/>
  <c r="G180" i="1" s="1"/>
  <c r="C90" i="1"/>
  <c r="M85" i="1"/>
  <c r="M42" i="1"/>
  <c r="C8" i="1"/>
  <c r="L132" i="1"/>
  <c r="L131" i="1"/>
  <c r="L130" i="1"/>
  <c r="D213" i="1"/>
  <c r="D169" i="1"/>
  <c r="G132" i="1"/>
  <c r="G131" i="1"/>
  <c r="I170" i="1" l="1"/>
  <c r="J170" i="1" s="1"/>
  <c r="J196" i="1" s="1"/>
  <c r="J176" i="1"/>
  <c r="I180" i="1"/>
  <c r="J181" i="1" s="1"/>
  <c r="K182" i="1" s="1"/>
  <c r="H221" i="1"/>
  <c r="I218" i="1" s="1"/>
  <c r="H8" i="1"/>
  <c r="K8" i="1"/>
  <c r="L8" i="1"/>
  <c r="I344" i="1"/>
  <c r="J8" i="1"/>
  <c r="G182" i="1"/>
  <c r="G181" i="1"/>
  <c r="G183" i="1"/>
  <c r="G184" i="1"/>
  <c r="M8" i="1"/>
  <c r="I8" i="1"/>
  <c r="I196" i="1" l="1"/>
  <c r="J180" i="1"/>
  <c r="K181" i="1" s="1"/>
  <c r="L344" i="1"/>
  <c r="J344" i="1"/>
  <c r="K344" i="1"/>
  <c r="I376" i="1"/>
  <c r="I379" i="1" s="1"/>
  <c r="J379" i="1"/>
  <c r="J365" i="1"/>
  <c r="K364" i="1" l="1"/>
  <c r="K376" i="1" s="1"/>
  <c r="K379" i="1" s="1"/>
  <c r="J46" i="1"/>
  <c r="G32" i="1"/>
  <c r="E117" i="13" s="1"/>
  <c r="J57" i="3"/>
  <c r="I46" i="1"/>
  <c r="I88" i="1" s="1"/>
  <c r="F122" i="1"/>
  <c r="G18" i="1"/>
  <c r="G36" i="1" s="1"/>
  <c r="H117" i="13" l="1"/>
  <c r="I116" i="13" s="1"/>
  <c r="D134" i="13" s="1"/>
  <c r="F117" i="13"/>
  <c r="J383" i="1"/>
  <c r="L364" i="1"/>
  <c r="K116" i="13" l="1"/>
  <c r="K126" i="13" s="1"/>
  <c r="N115" i="13" s="1"/>
  <c r="I126" i="13"/>
  <c r="L376" i="1"/>
  <c r="L379" i="1" s="1"/>
  <c r="M364" i="1"/>
  <c r="K365" i="1"/>
  <c r="N116" i="13" l="1"/>
  <c r="N117" i="13" s="1"/>
  <c r="M376" i="1"/>
  <c r="N364" i="1"/>
  <c r="K383" i="1"/>
  <c r="L365" i="1"/>
  <c r="M365" i="1" s="1"/>
  <c r="N365" i="1" s="1"/>
  <c r="L383" i="1" l="1"/>
  <c r="M383" i="1" s="1"/>
  <c r="H228" i="1" l="1"/>
  <c r="I225" i="1" s="1"/>
  <c r="H122" i="1"/>
  <c r="I122" i="1"/>
  <c r="J122" i="1"/>
  <c r="K122" i="1"/>
  <c r="L122" i="1"/>
  <c r="G122" i="1" l="1"/>
  <c r="I208" i="1" l="1"/>
  <c r="G119" i="1"/>
  <c r="I321" i="1"/>
  <c r="H85" i="1"/>
  <c r="I237" i="1"/>
  <c r="H42" i="1"/>
  <c r="G162" i="1"/>
  <c r="I279" i="1"/>
  <c r="G445" i="1" s="1"/>
  <c r="G408" i="1" s="1"/>
  <c r="I5" i="1"/>
  <c r="J5" i="1" s="1"/>
  <c r="I85" i="1" l="1"/>
  <c r="J237" i="1"/>
  <c r="I42" i="1"/>
  <c r="J208" i="1"/>
  <c r="J321" i="1"/>
  <c r="J279" i="1"/>
  <c r="H445" i="1" s="1"/>
  <c r="H408" i="1" s="1"/>
  <c r="H119" i="1"/>
  <c r="H162" i="1"/>
  <c r="F162" i="1"/>
  <c r="B170" i="1" s="1"/>
  <c r="H279" i="1"/>
  <c r="F445" i="1" s="1"/>
  <c r="F408" i="1" s="1"/>
  <c r="H208" i="1"/>
  <c r="F119" i="1"/>
  <c r="G85" i="1"/>
  <c r="H237" i="1"/>
  <c r="G42" i="1"/>
  <c r="B13" i="3" l="1"/>
  <c r="B14" i="3"/>
  <c r="B12" i="3"/>
  <c r="B26" i="3" l="1"/>
  <c r="B19" i="3"/>
  <c r="B21" i="3"/>
  <c r="B28" i="3"/>
  <c r="B20" i="3"/>
  <c r="B27" i="3"/>
  <c r="D7" i="3" l="1"/>
  <c r="G10" i="3" l="1" a="1"/>
  <c r="G10" i="3" s="1"/>
  <c r="B6" i="1"/>
  <c r="H10" i="3" a="1"/>
  <c r="H10" i="3" s="1"/>
  <c r="G17" i="3" a="1"/>
  <c r="G17" i="3" s="1"/>
  <c r="G24" i="3" a="1"/>
  <c r="G24" i="3" s="1"/>
  <c r="J10" i="3" a="1"/>
  <c r="J10" i="3" s="1"/>
  <c r="I10" i="3" a="1"/>
  <c r="I10" i="3" s="1"/>
  <c r="L14" i="1"/>
  <c r="H46" i="1"/>
  <c r="M46" i="1"/>
  <c r="L46" i="1"/>
  <c r="J24" i="3" a="1"/>
  <c r="J24" i="3" s="1"/>
  <c r="K423" i="1"/>
  <c r="K424" i="1" s="1"/>
  <c r="H24" i="3" a="1"/>
  <c r="H24" i="3" s="1"/>
  <c r="J423" i="1"/>
  <c r="J424" i="1" s="1"/>
  <c r="I24" i="3" a="1"/>
  <c r="I24" i="3" s="1"/>
  <c r="J17" i="3" a="1"/>
  <c r="J17" i="3" s="1"/>
  <c r="L25" i="1"/>
  <c r="K25" i="1"/>
  <c r="I17" i="3" a="1"/>
  <c r="I17" i="3" s="1"/>
  <c r="H17" i="3" a="1"/>
  <c r="H17" i="3" s="1"/>
  <c r="N335" i="1" l="1"/>
  <c r="N346" i="1" s="1"/>
  <c r="H14" i="1"/>
  <c r="H16" i="1" s="1"/>
  <c r="H17" i="1" s="1"/>
  <c r="I423" i="1"/>
  <c r="I424" i="1" s="1"/>
  <c r="H67" i="1"/>
  <c r="I67" i="1" s="1"/>
  <c r="J67" i="1" s="1"/>
  <c r="H66" i="1"/>
  <c r="H50" i="1"/>
  <c r="G165" i="1"/>
  <c r="G423" i="1"/>
  <c r="H165" i="1"/>
  <c r="H423" i="1"/>
  <c r="H424" i="1" s="1"/>
  <c r="I335" i="1"/>
  <c r="I346" i="1" s="1"/>
  <c r="K165" i="1"/>
  <c r="M211" i="1" s="1"/>
  <c r="M219" i="1" s="1"/>
  <c r="M226" i="1" s="1"/>
  <c r="M335" i="1"/>
  <c r="M346" i="1" s="1"/>
  <c r="B43" i="1"/>
  <c r="I25" i="1"/>
  <c r="L335" i="1"/>
  <c r="K335" i="1"/>
  <c r="J335" i="1"/>
  <c r="M103" i="1"/>
  <c r="N342" i="1" s="1"/>
  <c r="B163" i="1"/>
  <c r="B120" i="1"/>
  <c r="B280" i="1"/>
  <c r="B322" i="1"/>
  <c r="B86" i="1"/>
  <c r="B238" i="1"/>
  <c r="B362" i="1"/>
  <c r="B209" i="1"/>
  <c r="I5" i="3"/>
  <c r="G111" i="1"/>
  <c r="K19" i="13" l="1"/>
  <c r="J19" i="13"/>
  <c r="H31" i="1"/>
  <c r="H45" i="1" s="1"/>
  <c r="H63" i="1" s="1"/>
  <c r="I66" i="1"/>
  <c r="I68" i="1" s="1"/>
  <c r="H68" i="1"/>
  <c r="I57" i="3"/>
  <c r="L58" i="3"/>
  <c r="G424" i="1"/>
  <c r="I58" i="3"/>
  <c r="J58" i="3"/>
  <c r="I211" i="1"/>
  <c r="J211" i="1"/>
  <c r="I165" i="1"/>
  <c r="J165" i="1"/>
  <c r="L346" i="1" s="1"/>
  <c r="I19" i="13" l="1"/>
  <c r="I14" i="1"/>
  <c r="I16" i="1" s="1"/>
  <c r="J25" i="1"/>
  <c r="M14" i="1"/>
  <c r="M25" i="1"/>
  <c r="J14" i="1"/>
  <c r="H18" i="1" l="1"/>
  <c r="K5" i="1"/>
  <c r="L5" i="1" s="1"/>
  <c r="F66" i="3" l="1"/>
  <c r="I31" i="1"/>
  <c r="I45" i="1" s="1"/>
  <c r="I63" i="1" s="1"/>
  <c r="I17" i="1"/>
  <c r="I18" i="1" s="1"/>
  <c r="K162" i="1"/>
  <c r="M279" i="1"/>
  <c r="K445" i="1" s="1"/>
  <c r="K408" i="1" s="1"/>
  <c r="M208" i="1"/>
  <c r="M321" i="1"/>
  <c r="M237" i="1"/>
  <c r="K237" i="1"/>
  <c r="J42" i="1"/>
  <c r="I162" i="1"/>
  <c r="K208" i="1"/>
  <c r="K279" i="1"/>
  <c r="I445" i="1" s="1"/>
  <c r="I408" i="1" s="1"/>
  <c r="I119" i="1"/>
  <c r="K321" i="1"/>
  <c r="J85" i="1"/>
  <c r="J16" i="1"/>
  <c r="J17" i="1" s="1"/>
  <c r="L64" i="3" l="1"/>
  <c r="L66" i="3" s="1"/>
  <c r="L81" i="3" s="1"/>
  <c r="M179" i="1"/>
  <c r="M187" i="1"/>
  <c r="J31" i="1"/>
  <c r="K16" i="1"/>
  <c r="K17" i="1" s="1"/>
  <c r="K85" i="1"/>
  <c r="K42" i="1"/>
  <c r="L279" i="1"/>
  <c r="J445" i="1" s="1"/>
  <c r="J408" i="1" s="1"/>
  <c r="L208" i="1"/>
  <c r="L321" i="1"/>
  <c r="J162" i="1"/>
  <c r="J119" i="1"/>
  <c r="L237" i="1"/>
  <c r="J18" i="1"/>
  <c r="J36" i="1" s="1"/>
  <c r="K119" i="1"/>
  <c r="L84" i="3" l="1"/>
  <c r="F109" i="3" s="1"/>
  <c r="F110" i="3" s="1"/>
  <c r="M84" i="3"/>
  <c r="K31" i="1"/>
  <c r="K18" i="1"/>
  <c r="K36" i="1" s="1"/>
  <c r="L16" i="1"/>
  <c r="L17" i="1" s="1"/>
  <c r="L85" i="1"/>
  <c r="L42" i="1"/>
  <c r="E28" i="13" l="1"/>
  <c r="C89" i="13"/>
  <c r="C88" i="13" s="1"/>
  <c r="C101" i="13" s="1"/>
  <c r="K101" i="13" s="1"/>
  <c r="O76" i="13"/>
  <c r="L31" i="1"/>
  <c r="L18" i="1"/>
  <c r="L36" i="1" s="1"/>
  <c r="M16" i="1"/>
  <c r="M17" i="1" s="1"/>
  <c r="K170" i="1"/>
  <c r="K89" i="13" l="1"/>
  <c r="C87" i="13"/>
  <c r="K87" i="13" s="1"/>
  <c r="C102" i="13"/>
  <c r="K102" i="13" s="1"/>
  <c r="K88" i="13"/>
  <c r="C90" i="13"/>
  <c r="C103" i="13" s="1"/>
  <c r="K103" i="13" s="1"/>
  <c r="C91" i="13"/>
  <c r="K91" i="13" s="1"/>
  <c r="K90" i="13"/>
  <c r="C100" i="13"/>
  <c r="K100" i="13" s="1"/>
  <c r="M18" i="1"/>
  <c r="M36" i="1" s="1"/>
  <c r="M31" i="1"/>
  <c r="G88" i="1"/>
  <c r="G78" i="1"/>
  <c r="E123" i="13" s="1"/>
  <c r="G51" i="1"/>
  <c r="G73" i="1" s="1"/>
  <c r="C104" i="13" l="1"/>
  <c r="K104" i="13" s="1"/>
  <c r="E124" i="13"/>
  <c r="F123" i="13"/>
  <c r="H123" i="13"/>
  <c r="I123" i="13" s="1"/>
  <c r="J169" i="1"/>
  <c r="K169" i="1" s="1"/>
  <c r="L169" i="1" s="1"/>
  <c r="M169" i="1" s="1"/>
  <c r="L170" i="1"/>
  <c r="M170" i="1" s="1"/>
  <c r="M196" i="1" s="1"/>
  <c r="J175" i="1"/>
  <c r="K175" i="1" s="1"/>
  <c r="L175" i="1" s="1"/>
  <c r="M175" i="1" s="1"/>
  <c r="J182" i="1"/>
  <c r="I182" i="1"/>
  <c r="I183" i="1"/>
  <c r="I184" i="1"/>
  <c r="F124" i="13" l="1"/>
  <c r="H124" i="13"/>
  <c r="J184" i="1"/>
  <c r="J183" i="1"/>
  <c r="K183" i="1"/>
  <c r="H25" i="1"/>
  <c r="H26" i="1" s="1"/>
  <c r="H32" i="1" s="1"/>
  <c r="M88" i="1"/>
  <c r="K196" i="1"/>
  <c r="K176" i="1"/>
  <c r="K180" i="1" s="1"/>
  <c r="L196" i="1"/>
  <c r="L184" i="1" l="1"/>
  <c r="K184" i="1"/>
  <c r="L183" i="1"/>
  <c r="M184" i="1" s="1"/>
  <c r="I26" i="1"/>
  <c r="I32" i="1" s="1"/>
  <c r="J88" i="1"/>
  <c r="K88" i="1"/>
  <c r="L88" i="1"/>
  <c r="L176" i="1"/>
  <c r="M176" i="1" s="1"/>
  <c r="M180" i="1" s="1"/>
  <c r="G33" i="1"/>
  <c r="G93" i="1" s="1"/>
  <c r="E118" i="13" l="1"/>
  <c r="H118" i="13" s="1"/>
  <c r="H7" i="13"/>
  <c r="F123" i="1"/>
  <c r="F136" i="1" s="1"/>
  <c r="L180" i="1"/>
  <c r="M181" i="1" s="1"/>
  <c r="L181" i="1"/>
  <c r="M182" i="1" s="1"/>
  <c r="L182" i="1"/>
  <c r="M183" i="1" s="1"/>
  <c r="C365" i="1"/>
  <c r="I386" i="1" s="1"/>
  <c r="J26" i="1"/>
  <c r="H88" i="1"/>
  <c r="H36" i="1"/>
  <c r="I179" i="1"/>
  <c r="G74" i="1"/>
  <c r="G75" i="1" s="1"/>
  <c r="G54" i="1"/>
  <c r="J179" i="1"/>
  <c r="F118" i="13" l="1"/>
  <c r="F451" i="1"/>
  <c r="F141" i="1"/>
  <c r="G77" i="1"/>
  <c r="G79" i="1" s="1"/>
  <c r="G94" i="1" s="1"/>
  <c r="G95" i="1" s="1"/>
  <c r="E120" i="13"/>
  <c r="H120" i="13" s="1"/>
  <c r="H53" i="1"/>
  <c r="H62" i="1"/>
  <c r="H64" i="1" s="1"/>
  <c r="F416" i="1"/>
  <c r="J32" i="1"/>
  <c r="K26" i="1"/>
  <c r="J386" i="1"/>
  <c r="L386" i="1"/>
  <c r="K386" i="1"/>
  <c r="I219" i="1"/>
  <c r="H51" i="1"/>
  <c r="I50" i="1"/>
  <c r="J50" i="1" s="1"/>
  <c r="H78" i="1"/>
  <c r="I36" i="1"/>
  <c r="H33" i="1"/>
  <c r="F180" i="1"/>
  <c r="F188" i="1" s="1"/>
  <c r="I187" i="1"/>
  <c r="J187" i="1"/>
  <c r="K179" i="1"/>
  <c r="F124" i="1" l="1"/>
  <c r="F137" i="1" s="1"/>
  <c r="G100" i="1"/>
  <c r="H9" i="13" s="1"/>
  <c r="H10" i="13" s="1"/>
  <c r="F120" i="13"/>
  <c r="H98" i="1"/>
  <c r="I98" i="1" s="1"/>
  <c r="F98" i="1"/>
  <c r="G103" i="1"/>
  <c r="F103" i="1" s="1"/>
  <c r="I226" i="1"/>
  <c r="K32" i="1"/>
  <c r="K33" i="1" s="1"/>
  <c r="L26" i="1"/>
  <c r="L32" i="1" s="1"/>
  <c r="L33" i="1" s="1"/>
  <c r="G188" i="1"/>
  <c r="H188" i="1" s="1"/>
  <c r="I188" i="1" s="1"/>
  <c r="I51" i="1"/>
  <c r="I73" i="1" s="1"/>
  <c r="I33" i="1"/>
  <c r="J45" i="1"/>
  <c r="J63" i="1" s="1"/>
  <c r="F181" i="1"/>
  <c r="F189" i="1" s="1"/>
  <c r="H73" i="1"/>
  <c r="J219" i="1"/>
  <c r="J226" i="1" s="1"/>
  <c r="J346" i="1"/>
  <c r="J66" i="1"/>
  <c r="J68" i="1" s="1"/>
  <c r="I78" i="1"/>
  <c r="H93" i="1"/>
  <c r="K187" i="1"/>
  <c r="L187" i="1"/>
  <c r="I7" i="13" l="1"/>
  <c r="F138" i="1"/>
  <c r="F149" i="1" s="1"/>
  <c r="F99" i="1"/>
  <c r="F100" i="1" s="1"/>
  <c r="F104" i="1" s="1"/>
  <c r="F107" i="1" s="1"/>
  <c r="F113" i="1" s="1"/>
  <c r="D126" i="13" s="1"/>
  <c r="D132" i="13" s="1"/>
  <c r="H99" i="1"/>
  <c r="I99" i="1" s="1"/>
  <c r="J99" i="1" s="1"/>
  <c r="K99" i="1" s="1"/>
  <c r="L99" i="1" s="1"/>
  <c r="M99" i="1" s="1"/>
  <c r="F415" i="1"/>
  <c r="I227" i="1"/>
  <c r="I228" i="1" s="1"/>
  <c r="G123" i="1"/>
  <c r="G136" i="1" s="1"/>
  <c r="G451" i="1" s="1"/>
  <c r="F452" i="1"/>
  <c r="F453" i="1" s="1"/>
  <c r="F458" i="1" s="1"/>
  <c r="F142" i="1"/>
  <c r="F148" i="1"/>
  <c r="M188" i="1"/>
  <c r="M26" i="1"/>
  <c r="M32" i="1" s="1"/>
  <c r="M33" i="1" s="1"/>
  <c r="I62" i="1"/>
  <c r="I64" i="1" s="1"/>
  <c r="I53" i="1"/>
  <c r="F182" i="1"/>
  <c r="F183" i="1" s="1"/>
  <c r="F191" i="1" s="1"/>
  <c r="I93" i="1"/>
  <c r="J33" i="1"/>
  <c r="K45" i="1"/>
  <c r="H74" i="1"/>
  <c r="H75" i="1" s="1"/>
  <c r="H54" i="1"/>
  <c r="H77" i="1" s="1"/>
  <c r="H79" i="1" s="1"/>
  <c r="H94" i="1" s="1"/>
  <c r="K346" i="1"/>
  <c r="K211" i="1"/>
  <c r="K66" i="1"/>
  <c r="J78" i="1"/>
  <c r="K50" i="1"/>
  <c r="J51" i="1"/>
  <c r="J73" i="1" s="1"/>
  <c r="G104" i="1"/>
  <c r="L179" i="1"/>
  <c r="G189" i="1"/>
  <c r="H189" i="1" s="1"/>
  <c r="J7" i="13" l="1"/>
  <c r="F463" i="1"/>
  <c r="F465" i="1" s="1"/>
  <c r="F469" i="1" s="1"/>
  <c r="F143" i="1"/>
  <c r="F418" i="1" s="1"/>
  <c r="D127" i="13"/>
  <c r="F144" i="1"/>
  <c r="I250" i="1"/>
  <c r="G141" i="1"/>
  <c r="G416" i="1" s="1"/>
  <c r="H123" i="1"/>
  <c r="H136" i="1" s="1"/>
  <c r="H451" i="1" s="1"/>
  <c r="F417" i="1"/>
  <c r="F150" i="1"/>
  <c r="F153" i="1" s="1"/>
  <c r="K189" i="1"/>
  <c r="M189" i="1"/>
  <c r="I292" i="1"/>
  <c r="J225" i="1"/>
  <c r="F190" i="1"/>
  <c r="G190" i="1" s="1"/>
  <c r="H190" i="1" s="1"/>
  <c r="F184" i="1"/>
  <c r="F192" i="1" s="1"/>
  <c r="G192" i="1" s="1"/>
  <c r="H192" i="1" s="1"/>
  <c r="M192" i="1" s="1"/>
  <c r="I54" i="1"/>
  <c r="I77" i="1" s="1"/>
  <c r="I79" i="1" s="1"/>
  <c r="I74" i="1"/>
  <c r="I75" i="1" s="1"/>
  <c r="J53" i="1"/>
  <c r="J93" i="1"/>
  <c r="J62" i="1"/>
  <c r="J64" i="1" s="1"/>
  <c r="K53" i="1"/>
  <c r="L66" i="1"/>
  <c r="K68" i="1"/>
  <c r="K78" i="1" s="1"/>
  <c r="K219" i="1"/>
  <c r="K226" i="1" s="1"/>
  <c r="L50" i="1"/>
  <c r="K51" i="1"/>
  <c r="K73" i="1" s="1"/>
  <c r="L211" i="1"/>
  <c r="G107" i="1"/>
  <c r="G191" i="1"/>
  <c r="H191" i="1" s="1"/>
  <c r="K62" i="1"/>
  <c r="L189" i="1"/>
  <c r="J189" i="1"/>
  <c r="I189" i="1"/>
  <c r="K7" i="13" l="1"/>
  <c r="H141" i="1"/>
  <c r="H416" i="1" s="1"/>
  <c r="I123" i="1"/>
  <c r="I136" i="1" s="1"/>
  <c r="I451" i="1" s="1"/>
  <c r="L190" i="1"/>
  <c r="M190" i="1"/>
  <c r="I191" i="1"/>
  <c r="M191" i="1"/>
  <c r="J227" i="1"/>
  <c r="J228" i="1" s="1"/>
  <c r="K225" i="1" s="1"/>
  <c r="H95" i="1"/>
  <c r="H100" i="1" s="1"/>
  <c r="G124" i="1"/>
  <c r="I94" i="1"/>
  <c r="J98" i="1" s="1"/>
  <c r="K98" i="1" s="1"/>
  <c r="L98" i="1" s="1"/>
  <c r="M98" i="1" s="1"/>
  <c r="J188" i="1"/>
  <c r="J74" i="1"/>
  <c r="J75" i="1" s="1"/>
  <c r="J54" i="1"/>
  <c r="J77" i="1" s="1"/>
  <c r="J79" i="1" s="1"/>
  <c r="K93" i="1"/>
  <c r="J123" i="1" s="1"/>
  <c r="J136" i="1" s="1"/>
  <c r="J451" i="1" s="1"/>
  <c r="L45" i="1"/>
  <c r="L62" i="1" s="1"/>
  <c r="M50" i="1"/>
  <c r="M51" i="1" s="1"/>
  <c r="M73" i="1" s="1"/>
  <c r="L51" i="1"/>
  <c r="L73" i="1" s="1"/>
  <c r="L219" i="1"/>
  <c r="L226" i="1" s="1"/>
  <c r="M66" i="1"/>
  <c r="M68" i="1" s="1"/>
  <c r="M78" i="1" s="1"/>
  <c r="L68" i="1"/>
  <c r="L78" i="1" s="1"/>
  <c r="G113" i="1"/>
  <c r="L191" i="1"/>
  <c r="K191" i="1"/>
  <c r="J191" i="1"/>
  <c r="K54" i="1"/>
  <c r="K77" i="1" s="1"/>
  <c r="K79" i="1" s="1"/>
  <c r="K64" i="1"/>
  <c r="K74" i="1" s="1"/>
  <c r="K75" i="1" s="1"/>
  <c r="L188" i="1"/>
  <c r="K188" i="1"/>
  <c r="I190" i="1"/>
  <c r="J190" i="1"/>
  <c r="K190" i="1"/>
  <c r="E126" i="13" l="1"/>
  <c r="D137" i="13" s="1"/>
  <c r="H12" i="13"/>
  <c r="H13" i="13" s="1"/>
  <c r="F413" i="1"/>
  <c r="F431" i="1" s="1"/>
  <c r="F475" i="1" s="1"/>
  <c r="F476" i="1" s="1"/>
  <c r="F479" i="1" s="1"/>
  <c r="F482" i="1" s="1"/>
  <c r="I333" i="1"/>
  <c r="I9" i="13"/>
  <c r="I10" i="13" s="1"/>
  <c r="I141" i="1"/>
  <c r="I416" i="1" s="1"/>
  <c r="J141" i="1"/>
  <c r="J416" i="1" s="1"/>
  <c r="G138" i="1"/>
  <c r="G463" i="1" s="1"/>
  <c r="G465" i="1" s="1"/>
  <c r="G137" i="1"/>
  <c r="G452" i="1" s="1"/>
  <c r="M197" i="1"/>
  <c r="M198" i="1" s="1"/>
  <c r="M220" i="1" s="1"/>
  <c r="K227" i="1"/>
  <c r="K228" i="1" s="1"/>
  <c r="L225" i="1" s="1"/>
  <c r="J250" i="1"/>
  <c r="J292" i="1"/>
  <c r="I95" i="1"/>
  <c r="H124" i="1"/>
  <c r="L192" i="1"/>
  <c r="L197" i="1" s="1"/>
  <c r="L198" i="1" s="1"/>
  <c r="J94" i="1"/>
  <c r="L93" i="1"/>
  <c r="L53" i="1"/>
  <c r="J192" i="1"/>
  <c r="J197" i="1" s="1"/>
  <c r="J198" i="1" s="1"/>
  <c r="I192" i="1"/>
  <c r="K192" i="1"/>
  <c r="K197" i="1" s="1"/>
  <c r="K198" i="1" s="1"/>
  <c r="K94" i="1"/>
  <c r="F126" i="13" l="1"/>
  <c r="H126" i="13"/>
  <c r="E127" i="13"/>
  <c r="H127" i="13" s="1"/>
  <c r="G148" i="1"/>
  <c r="G142" i="1"/>
  <c r="G417" i="1" s="1"/>
  <c r="G149" i="1"/>
  <c r="G143" i="1"/>
  <c r="G418" i="1" s="1"/>
  <c r="H137" i="1"/>
  <c r="H452" i="1" s="1"/>
  <c r="H138" i="1"/>
  <c r="M249" i="1"/>
  <c r="M291" i="1"/>
  <c r="K292" i="1"/>
  <c r="K250" i="1"/>
  <c r="L227" i="1"/>
  <c r="L250" i="1" s="1"/>
  <c r="I100" i="1"/>
  <c r="K123" i="1"/>
  <c r="K136" i="1" s="1"/>
  <c r="K451" i="1" s="1"/>
  <c r="K103" i="1"/>
  <c r="L103" i="1"/>
  <c r="J220" i="1"/>
  <c r="J103" i="1"/>
  <c r="I197" i="1"/>
  <c r="I198" i="1" s="1"/>
  <c r="H103" i="1" s="1"/>
  <c r="G415" i="1" s="1"/>
  <c r="K95" i="1"/>
  <c r="K100" i="1" s="1"/>
  <c r="J124" i="1"/>
  <c r="J95" i="1"/>
  <c r="J100" i="1" s="1"/>
  <c r="I124" i="1"/>
  <c r="L64" i="1"/>
  <c r="L74" i="1" s="1"/>
  <c r="L75" i="1" s="1"/>
  <c r="L54" i="1"/>
  <c r="L77" i="1" s="1"/>
  <c r="L79" i="1" s="1"/>
  <c r="M45" i="1"/>
  <c r="L220" i="1"/>
  <c r="I103" i="1"/>
  <c r="K220" i="1"/>
  <c r="K9" i="13" l="1"/>
  <c r="K10" i="13" s="1"/>
  <c r="J9" i="13"/>
  <c r="J10" i="13" s="1"/>
  <c r="F127" i="13"/>
  <c r="H143" i="1"/>
  <c r="H418" i="1" s="1"/>
  <c r="H463" i="1"/>
  <c r="H465" i="1" s="1"/>
  <c r="J342" i="1"/>
  <c r="H415" i="1"/>
  <c r="K342" i="1"/>
  <c r="I415" i="1"/>
  <c r="L342" i="1"/>
  <c r="J415" i="1"/>
  <c r="M342" i="1"/>
  <c r="K415" i="1"/>
  <c r="H149" i="1"/>
  <c r="G144" i="1"/>
  <c r="G150" i="1"/>
  <c r="G153" i="1" s="1"/>
  <c r="H142" i="1"/>
  <c r="H417" i="1" s="1"/>
  <c r="K141" i="1"/>
  <c r="H148" i="1"/>
  <c r="I137" i="1"/>
  <c r="I452" i="1" s="1"/>
  <c r="I138" i="1"/>
  <c r="J138" i="1"/>
  <c r="J463" i="1" s="1"/>
  <c r="J465" i="1" s="1"/>
  <c r="J137" i="1"/>
  <c r="J452" i="1" s="1"/>
  <c r="I220" i="1"/>
  <c r="I221" i="1" s="1"/>
  <c r="G455" i="1" s="1"/>
  <c r="L228" i="1"/>
  <c r="M225" i="1" s="1"/>
  <c r="L292" i="1"/>
  <c r="J333" i="1"/>
  <c r="I342" i="1"/>
  <c r="K333" i="1"/>
  <c r="L333" i="1"/>
  <c r="K291" i="1"/>
  <c r="K249" i="1"/>
  <c r="J291" i="1"/>
  <c r="J249" i="1"/>
  <c r="L291" i="1"/>
  <c r="L249" i="1"/>
  <c r="L94" i="1"/>
  <c r="K124" i="1" s="1"/>
  <c r="M93" i="1"/>
  <c r="L123" i="1" s="1"/>
  <c r="L136" i="1" s="1"/>
  <c r="M53" i="1"/>
  <c r="M62" i="1"/>
  <c r="I104" i="1"/>
  <c r="K104" i="1"/>
  <c r="J104" i="1"/>
  <c r="I143" i="1" l="1"/>
  <c r="I418" i="1" s="1"/>
  <c r="I463" i="1"/>
  <c r="I465" i="1" s="1"/>
  <c r="L141" i="1"/>
  <c r="H150" i="1"/>
  <c r="H153" i="1" s="1"/>
  <c r="J336" i="1" s="1"/>
  <c r="J347" i="1" s="1"/>
  <c r="K416" i="1"/>
  <c r="J149" i="1"/>
  <c r="J143" i="1"/>
  <c r="J418" i="1" s="1"/>
  <c r="J142" i="1"/>
  <c r="J417" i="1" s="1"/>
  <c r="I142" i="1"/>
  <c r="I417" i="1" s="1"/>
  <c r="I149" i="1"/>
  <c r="I148" i="1"/>
  <c r="H144" i="1"/>
  <c r="J148" i="1"/>
  <c r="K138" i="1"/>
  <c r="K137" i="1"/>
  <c r="K452" i="1" s="1"/>
  <c r="M227" i="1"/>
  <c r="M228" i="1" s="1"/>
  <c r="I336" i="1"/>
  <c r="I347" i="1" s="1"/>
  <c r="I249" i="1"/>
  <c r="I291" i="1"/>
  <c r="H104" i="1"/>
  <c r="L95" i="1"/>
  <c r="L100" i="1" s="1"/>
  <c r="M333" i="1" s="1"/>
  <c r="M54" i="1"/>
  <c r="M77" i="1" s="1"/>
  <c r="M79" i="1" s="1"/>
  <c r="M64" i="1"/>
  <c r="M74" i="1" s="1"/>
  <c r="M75" i="1" s="1"/>
  <c r="K107" i="1"/>
  <c r="K282" i="1"/>
  <c r="J282" i="1"/>
  <c r="I107" i="1"/>
  <c r="L282" i="1"/>
  <c r="J107" i="1"/>
  <c r="K143" i="1" l="1"/>
  <c r="K418" i="1" s="1"/>
  <c r="K463" i="1"/>
  <c r="K465" i="1" s="1"/>
  <c r="J144" i="1"/>
  <c r="I144" i="1"/>
  <c r="J150" i="1"/>
  <c r="I150" i="1"/>
  <c r="I153" i="1" s="1"/>
  <c r="K336" i="1" s="1"/>
  <c r="K347" i="1" s="1"/>
  <c r="K142" i="1"/>
  <c r="K417" i="1" s="1"/>
  <c r="M250" i="1"/>
  <c r="M292" i="1"/>
  <c r="J240" i="1"/>
  <c r="J218" i="1"/>
  <c r="J221" i="1" s="1"/>
  <c r="H455" i="1" s="1"/>
  <c r="I282" i="1"/>
  <c r="I290" i="1" s="1"/>
  <c r="I311" i="1" s="1"/>
  <c r="H107" i="1"/>
  <c r="I240" i="1" s="1"/>
  <c r="L240" i="1"/>
  <c r="K149" i="1"/>
  <c r="K148" i="1"/>
  <c r="L104" i="1"/>
  <c r="M282" i="1" s="1"/>
  <c r="M290" i="1" s="1"/>
  <c r="L290" i="1"/>
  <c r="L293" i="1" s="1"/>
  <c r="M94" i="1"/>
  <c r="K290" i="1"/>
  <c r="K311" i="1" s="1"/>
  <c r="K240" i="1"/>
  <c r="J290" i="1"/>
  <c r="J153" i="1" l="1"/>
  <c r="L336" i="1" s="1"/>
  <c r="L347" i="1" s="1"/>
  <c r="K144" i="1"/>
  <c r="M302" i="1"/>
  <c r="M293" i="1"/>
  <c r="M311" i="1"/>
  <c r="I293" i="1"/>
  <c r="I296" i="1" s="1"/>
  <c r="I302" i="1"/>
  <c r="L296" i="1"/>
  <c r="L283" i="1"/>
  <c r="K150" i="1"/>
  <c r="K153" i="1" s="1"/>
  <c r="M95" i="1"/>
  <c r="M100" i="1" s="1"/>
  <c r="N333" i="1" s="1"/>
  <c r="L124" i="1"/>
  <c r="K218" i="1"/>
  <c r="K221" i="1" s="1"/>
  <c r="I455" i="1" s="1"/>
  <c r="J293" i="1"/>
  <c r="J302" i="1"/>
  <c r="L107" i="1"/>
  <c r="M240" i="1" s="1"/>
  <c r="M248" i="1" s="1"/>
  <c r="L302" i="1"/>
  <c r="L311" i="1"/>
  <c r="J248" i="1"/>
  <c r="K248" i="1"/>
  <c r="K260" i="1" s="1"/>
  <c r="K302" i="1"/>
  <c r="K293" i="1"/>
  <c r="L248" i="1"/>
  <c r="L260" i="1" s="1"/>
  <c r="J311" i="1"/>
  <c r="I248" i="1" l="1"/>
  <c r="I251" i="1" s="1"/>
  <c r="L138" i="1"/>
  <c r="L143" i="1" s="1"/>
  <c r="L137" i="1"/>
  <c r="M283" i="1"/>
  <c r="M296" i="1"/>
  <c r="M251" i="1"/>
  <c r="M260" i="1"/>
  <c r="M269" i="1"/>
  <c r="J296" i="1"/>
  <c r="J283" i="1"/>
  <c r="K296" i="1"/>
  <c r="K283" i="1"/>
  <c r="I283" i="1"/>
  <c r="I303" i="1" s="1"/>
  <c r="M336" i="1"/>
  <c r="M347" i="1" s="1"/>
  <c r="J251" i="1"/>
  <c r="J260" i="1"/>
  <c r="L218" i="1"/>
  <c r="L221" i="1" s="1"/>
  <c r="J269" i="1"/>
  <c r="K251" i="1"/>
  <c r="K269" i="1"/>
  <c r="M104" i="1"/>
  <c r="G325" i="1" s="1"/>
  <c r="N325" i="1" s="1"/>
  <c r="L269" i="1"/>
  <c r="L251" i="1"/>
  <c r="I269" i="1" l="1"/>
  <c r="I254" i="1"/>
  <c r="I241" i="1"/>
  <c r="I260" i="1"/>
  <c r="M218" i="1"/>
  <c r="M221" i="1" s="1"/>
  <c r="K455" i="1" s="1"/>
  <c r="J455" i="1"/>
  <c r="L142" i="1"/>
  <c r="L148" i="1"/>
  <c r="L149" i="1"/>
  <c r="I304" i="1"/>
  <c r="I297" i="1"/>
  <c r="M254" i="1"/>
  <c r="M241" i="1"/>
  <c r="N334" i="1"/>
  <c r="K254" i="1"/>
  <c r="K241" i="1"/>
  <c r="J254" i="1"/>
  <c r="J241" i="1"/>
  <c r="L254" i="1"/>
  <c r="L241" i="1"/>
  <c r="M107" i="1"/>
  <c r="I261" i="1" l="1"/>
  <c r="I262" i="1" s="1"/>
  <c r="L150" i="1"/>
  <c r="L153" i="1" s="1"/>
  <c r="N336" i="1" s="1"/>
  <c r="N347" i="1" s="1"/>
  <c r="L144" i="1"/>
  <c r="G326" i="1"/>
  <c r="N326" i="1" s="1"/>
  <c r="N327" i="1" s="1"/>
  <c r="N345" i="1" s="1"/>
  <c r="I298" i="1"/>
  <c r="I309" i="1" s="1"/>
  <c r="I310" i="1" s="1"/>
  <c r="N337" i="1" l="1"/>
  <c r="I255" i="1"/>
  <c r="J301" i="1"/>
  <c r="J259" i="1"/>
  <c r="J261" i="1" s="1"/>
  <c r="J255" i="1" s="1"/>
  <c r="J256" i="1" s="1"/>
  <c r="J267" i="1" s="1"/>
  <c r="M111" i="1"/>
  <c r="M113" i="1" s="1"/>
  <c r="N341" i="1" s="1"/>
  <c r="N348" i="1" s="1"/>
  <c r="N367" i="1" s="1"/>
  <c r="M372" i="1" s="1"/>
  <c r="J326" i="1" l="1"/>
  <c r="I109" i="1"/>
  <c r="I256" i="1"/>
  <c r="I267" i="1" s="1"/>
  <c r="J303" i="1"/>
  <c r="J297" i="1" s="1"/>
  <c r="J298" i="1" s="1"/>
  <c r="J309" i="1" s="1"/>
  <c r="J325" i="1" s="1"/>
  <c r="I325" i="1"/>
  <c r="I334" i="1" s="1"/>
  <c r="I337" i="1" s="1"/>
  <c r="J268" i="1"/>
  <c r="J262" i="1"/>
  <c r="K259" i="1" s="1"/>
  <c r="K261" i="1" s="1"/>
  <c r="K255" i="1" s="1"/>
  <c r="K256" i="1" s="1"/>
  <c r="K267" i="1" s="1"/>
  <c r="I110" i="1" l="1"/>
  <c r="H414" i="1" s="1"/>
  <c r="K326" i="1"/>
  <c r="J109" i="1"/>
  <c r="I326" i="1"/>
  <c r="I327" i="1" s="1"/>
  <c r="H109" i="1"/>
  <c r="M379" i="1"/>
  <c r="M386" i="1" s="1"/>
  <c r="M392" i="1" s="1"/>
  <c r="K268" i="1"/>
  <c r="I268" i="1"/>
  <c r="H110" i="1" s="1"/>
  <c r="G467" i="1" s="1"/>
  <c r="J310" i="1"/>
  <c r="J304" i="1"/>
  <c r="K301" i="1" s="1"/>
  <c r="J334" i="1"/>
  <c r="J337" i="1" s="1"/>
  <c r="K262" i="1"/>
  <c r="L259" i="1" s="1"/>
  <c r="L261" i="1" s="1"/>
  <c r="L255" i="1" s="1"/>
  <c r="L256" i="1" s="1"/>
  <c r="L267" i="1" s="1"/>
  <c r="J327" i="1"/>
  <c r="J345" i="1" s="1"/>
  <c r="H467" i="1" l="1"/>
  <c r="G414" i="1"/>
  <c r="J343" i="1"/>
  <c r="I111" i="1"/>
  <c r="I113" i="1" s="1"/>
  <c r="L326" i="1"/>
  <c r="K109" i="1"/>
  <c r="J110" i="1"/>
  <c r="I414" i="1" s="1"/>
  <c r="I343" i="1"/>
  <c r="I345" i="1"/>
  <c r="H111" i="1"/>
  <c r="K303" i="1"/>
  <c r="K297" i="1" s="1"/>
  <c r="K298" i="1" s="1"/>
  <c r="K309" i="1" s="1"/>
  <c r="L268" i="1"/>
  <c r="L262" i="1"/>
  <c r="M259" i="1" s="1"/>
  <c r="H413" i="1" l="1"/>
  <c r="H431" i="1" s="1"/>
  <c r="H432" i="1" s="1"/>
  <c r="J12" i="13"/>
  <c r="J13" i="13" s="1"/>
  <c r="I467" i="1"/>
  <c r="G469" i="1"/>
  <c r="H113" i="1"/>
  <c r="K343" i="1"/>
  <c r="J341" i="1"/>
  <c r="J348" i="1" s="1"/>
  <c r="K110" i="1"/>
  <c r="J414" i="1" s="1"/>
  <c r="M261" i="1"/>
  <c r="M255" i="1" s="1"/>
  <c r="M256" i="1" s="1"/>
  <c r="M267" i="1" s="1"/>
  <c r="L109" i="1" s="1"/>
  <c r="K304" i="1"/>
  <c r="L301" i="1" s="1"/>
  <c r="K325" i="1"/>
  <c r="K310" i="1"/>
  <c r="J20" i="13" l="1"/>
  <c r="J351" i="1"/>
  <c r="J32" i="13"/>
  <c r="J34" i="13" s="1"/>
  <c r="H419" i="1"/>
  <c r="G413" i="1"/>
  <c r="G431" i="1" s="1"/>
  <c r="G432" i="1" s="1"/>
  <c r="I12" i="13"/>
  <c r="I13" i="13" s="1"/>
  <c r="J467" i="1"/>
  <c r="H469" i="1"/>
  <c r="I341" i="1"/>
  <c r="I348" i="1" s="1"/>
  <c r="L343" i="1"/>
  <c r="M262" i="1"/>
  <c r="D244" i="1" s="1"/>
  <c r="M326" i="1"/>
  <c r="M268" i="1"/>
  <c r="L110" i="1" s="1"/>
  <c r="K414" i="1" s="1"/>
  <c r="J367" i="1"/>
  <c r="J371" i="1" s="1"/>
  <c r="J378" i="1" s="1"/>
  <c r="J385" i="1" s="1"/>
  <c r="J387" i="1" s="1"/>
  <c r="K334" i="1"/>
  <c r="K337" i="1" s="1"/>
  <c r="K327" i="1"/>
  <c r="K345" i="1" s="1"/>
  <c r="L303" i="1"/>
  <c r="L297" i="1" s="1"/>
  <c r="L298" i="1" s="1"/>
  <c r="L309" i="1" s="1"/>
  <c r="K111" i="1"/>
  <c r="J111" i="1"/>
  <c r="J113" i="1" s="1"/>
  <c r="I20" i="13" l="1"/>
  <c r="J18" i="13"/>
  <c r="J21" i="13" s="1"/>
  <c r="K12" i="13"/>
  <c r="I32" i="13"/>
  <c r="I34" i="13" s="1"/>
  <c r="I351" i="1"/>
  <c r="I367" i="1"/>
  <c r="I371" i="1" s="1"/>
  <c r="I378" i="1" s="1"/>
  <c r="H437" i="1"/>
  <c r="G419" i="1"/>
  <c r="G475" i="1"/>
  <c r="H475" i="1" s="1"/>
  <c r="H476" i="1" s="1"/>
  <c r="H479" i="1" s="1"/>
  <c r="K467" i="1"/>
  <c r="I469" i="1"/>
  <c r="M343" i="1"/>
  <c r="I413" i="1"/>
  <c r="I431" i="1" s="1"/>
  <c r="J380" i="1"/>
  <c r="J373" i="1"/>
  <c r="L304" i="1"/>
  <c r="M301" i="1" s="1"/>
  <c r="L310" i="1"/>
  <c r="L325" i="1"/>
  <c r="K113" i="1"/>
  <c r="J413" i="1" s="1"/>
  <c r="J431" i="1" s="1"/>
  <c r="K341" i="1"/>
  <c r="I385" i="1" l="1"/>
  <c r="I387" i="1" s="1"/>
  <c r="G437" i="1"/>
  <c r="G438" i="1" s="1"/>
  <c r="G450" i="1" s="1"/>
  <c r="G453" i="1" s="1"/>
  <c r="I18" i="13"/>
  <c r="I21" i="13" s="1"/>
  <c r="G476" i="1"/>
  <c r="G479" i="1" s="1"/>
  <c r="I475" i="1"/>
  <c r="J469" i="1"/>
  <c r="K469" i="1"/>
  <c r="I380" i="1"/>
  <c r="J432" i="1"/>
  <c r="I419" i="1"/>
  <c r="I432" i="1"/>
  <c r="L341" i="1"/>
  <c r="J419" i="1"/>
  <c r="M303" i="1"/>
  <c r="M297" i="1" s="1"/>
  <c r="M298" i="1" s="1"/>
  <c r="M309" i="1" s="1"/>
  <c r="K348" i="1"/>
  <c r="L334" i="1"/>
  <c r="L337" i="1" s="1"/>
  <c r="L327" i="1"/>
  <c r="L345" i="1" s="1"/>
  <c r="I373" i="1"/>
  <c r="L111" i="1"/>
  <c r="L113" i="1" s="1"/>
  <c r="K413" i="1" s="1"/>
  <c r="K431" i="1" s="1"/>
  <c r="K18" i="13" l="1"/>
  <c r="K21" i="13" s="1"/>
  <c r="K20" i="13"/>
  <c r="K351" i="1"/>
  <c r="K32" i="13"/>
  <c r="K34" i="13" s="1"/>
  <c r="H348" i="1"/>
  <c r="H436" i="1"/>
  <c r="H438" i="1" s="1"/>
  <c r="I436" i="1" s="1"/>
  <c r="J475" i="1"/>
  <c r="I476" i="1"/>
  <c r="I479" i="1" s="1"/>
  <c r="J437" i="1"/>
  <c r="K432" i="1"/>
  <c r="I437" i="1"/>
  <c r="M341" i="1"/>
  <c r="K419" i="1"/>
  <c r="M304" i="1"/>
  <c r="D286" i="1" s="1"/>
  <c r="M325" i="1"/>
  <c r="M310" i="1"/>
  <c r="K367" i="1"/>
  <c r="K371" i="1" s="1"/>
  <c r="I438" i="1" l="1"/>
  <c r="J436" i="1" s="1"/>
  <c r="J438" i="1" s="1"/>
  <c r="K436" i="1" s="1"/>
  <c r="H450" i="1"/>
  <c r="H453" i="1" s="1"/>
  <c r="H458" i="1" s="1"/>
  <c r="K475" i="1"/>
  <c r="K476" i="1" s="1"/>
  <c r="K479" i="1" s="1"/>
  <c r="J476" i="1"/>
  <c r="J479" i="1" s="1"/>
  <c r="K437" i="1"/>
  <c r="M334" i="1"/>
  <c r="M337" i="1" s="1"/>
  <c r="M327" i="1"/>
  <c r="M345" i="1" s="1"/>
  <c r="M348" i="1" s="1"/>
  <c r="M367" i="1" s="1"/>
  <c r="M371" i="1" s="1"/>
  <c r="L348" i="1"/>
  <c r="L351" i="1" s="1"/>
  <c r="K373" i="1"/>
  <c r="K378" i="1"/>
  <c r="H482" i="1" l="1"/>
  <c r="I450" i="1"/>
  <c r="I453" i="1" s="1"/>
  <c r="I458" i="1" s="1"/>
  <c r="K438" i="1"/>
  <c r="K450" i="1" s="1"/>
  <c r="K453" i="1" s="1"/>
  <c r="J450" i="1"/>
  <c r="J453" i="1" s="1"/>
  <c r="M351" i="1"/>
  <c r="L367" i="1"/>
  <c r="L371" i="1" s="1"/>
  <c r="L378" i="1" s="1"/>
  <c r="K380" i="1"/>
  <c r="K385" i="1"/>
  <c r="I482" i="1" l="1"/>
  <c r="K458" i="1"/>
  <c r="J458" i="1"/>
  <c r="L380" i="1"/>
  <c r="L385" i="1"/>
  <c r="L387" i="1" s="1"/>
  <c r="M378" i="1"/>
  <c r="M385" i="1" s="1"/>
  <c r="M373" i="1"/>
  <c r="L373" i="1"/>
  <c r="K387" i="1"/>
  <c r="M387" i="1" l="1"/>
  <c r="H391" i="1" s="1"/>
  <c r="M380" i="1"/>
  <c r="H392" i="1" s="1"/>
  <c r="H397" i="1" l="1"/>
  <c r="M391" i="1"/>
  <c r="M393" i="1" s="1"/>
  <c r="C86" i="13" l="1"/>
  <c r="H399" i="1"/>
  <c r="M397" i="1" s="1"/>
  <c r="M399" i="1" s="1"/>
  <c r="F76" i="13"/>
  <c r="L391" i="1"/>
  <c r="L392" i="1"/>
  <c r="L393" i="1"/>
  <c r="K13" i="13" l="1"/>
  <c r="G458" i="1" l="1"/>
  <c r="G482" i="1" s="1"/>
  <c r="J5" i="13" l="1"/>
  <c r="K5" i="13"/>
  <c r="J17" i="13"/>
  <c r="K31" i="13"/>
  <c r="H5" i="13"/>
  <c r="I5" i="13"/>
  <c r="I31" i="13"/>
  <c r="J31" i="13"/>
  <c r="K17" i="13"/>
  <c r="H17" i="13"/>
  <c r="I17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<sst xmlns="http://schemas.openxmlformats.org/spreadsheetml/2006/main" count="543" uniqueCount="324">
  <si>
    <t>Revenue</t>
  </si>
  <si>
    <t>Days in Period</t>
  </si>
  <si>
    <t>Accounts Receivable</t>
  </si>
  <si>
    <t>(Days)</t>
  </si>
  <si>
    <t>Inventory</t>
  </si>
  <si>
    <t>Accounts Payable</t>
  </si>
  <si>
    <t>Net Working Capital</t>
  </si>
  <si>
    <t>Change in Working Capital</t>
  </si>
  <si>
    <t>Beginning</t>
  </si>
  <si>
    <t>Ending</t>
  </si>
  <si>
    <t>Plant Capacity</t>
  </si>
  <si>
    <t>Sales Volume Growth</t>
  </si>
  <si>
    <t>Sales Volume</t>
  </si>
  <si>
    <t>Operational Efficiency</t>
  </si>
  <si>
    <t>(Units)</t>
  </si>
  <si>
    <t>Unit Price</t>
  </si>
  <si>
    <t>(USD/Unit)</t>
  </si>
  <si>
    <t>Pricing Increases</t>
  </si>
  <si>
    <t>Revenue Schedule</t>
  </si>
  <si>
    <t>All figures in USD thousands unless stated</t>
  </si>
  <si>
    <t>Cost Schedule</t>
  </si>
  <si>
    <t>Variable Costs</t>
  </si>
  <si>
    <t>Fixed Costs</t>
  </si>
  <si>
    <t>Inflation</t>
  </si>
  <si>
    <t>Subtotal</t>
  </si>
  <si>
    <t>Total Costs</t>
  </si>
  <si>
    <t>Average</t>
  </si>
  <si>
    <t>EBT</t>
  </si>
  <si>
    <t>Add: Accounting Depreciation</t>
  </si>
  <si>
    <t>Less: Tax Depreciation</t>
  </si>
  <si>
    <t>Taxable Income</t>
  </si>
  <si>
    <t>Income Statement</t>
  </si>
  <si>
    <t>Gross Profit</t>
  </si>
  <si>
    <t>EBITDA</t>
  </si>
  <si>
    <t>Depreciation</t>
  </si>
  <si>
    <t>EBIT</t>
  </si>
  <si>
    <t>Current Tax</t>
  </si>
  <si>
    <t>Deferred Tax</t>
  </si>
  <si>
    <t>Total Tax</t>
  </si>
  <si>
    <t>Net Income</t>
  </si>
  <si>
    <t>Other</t>
  </si>
  <si>
    <t>Interest</t>
  </si>
  <si>
    <t>Add: New Losses</t>
  </si>
  <si>
    <t>Current Taxes</t>
  </si>
  <si>
    <t>Deferred Taxes</t>
  </si>
  <si>
    <t>Total Taxes</t>
  </si>
  <si>
    <t>Tax Rate</t>
  </si>
  <si>
    <t>Profitable Before Taxes?</t>
  </si>
  <si>
    <t>Asset Schedule</t>
  </si>
  <si>
    <t>Capital Expenditure</t>
  </si>
  <si>
    <t>Accounting Depreciation</t>
  </si>
  <si>
    <t>Tax Depreciation</t>
  </si>
  <si>
    <t>Blended Tax Depreciation Rate</t>
  </si>
  <si>
    <t>EBT After Adjustment</t>
  </si>
  <si>
    <t>Less: Use of Tax Losses</t>
  </si>
  <si>
    <t>Earnings Before Tax (EBT)</t>
  </si>
  <si>
    <t>Existing Assets</t>
  </si>
  <si>
    <t>New Assets</t>
  </si>
  <si>
    <t>Year</t>
  </si>
  <si>
    <t>Capex</t>
  </si>
  <si>
    <t>Life</t>
  </si>
  <si>
    <t>Amounts for Depreciation</t>
  </si>
  <si>
    <t>Total Depreciation</t>
  </si>
  <si>
    <t>Per Yr</t>
  </si>
  <si>
    <t>Years</t>
  </si>
  <si>
    <t>First Year Accounting Depreciation</t>
  </si>
  <si>
    <t>First Year Tax Depreciation</t>
  </si>
  <si>
    <t>Percent of Full Year</t>
  </si>
  <si>
    <t>Useful Life: Existing Assets</t>
  </si>
  <si>
    <t>Useful Life: New Assets</t>
  </si>
  <si>
    <t>Sales Price</t>
  </si>
  <si>
    <t>Income Tax Schedule (Levered)</t>
  </si>
  <si>
    <t>Income Tax Schedule (Unlevered)</t>
  </si>
  <si>
    <t>Earnings Before Interest &amp; Tax (EBIT)</t>
  </si>
  <si>
    <t>EBIT After Adjustment</t>
  </si>
  <si>
    <t>Unlevered Free Cash Flow Schedule</t>
  </si>
  <si>
    <t>Unlevered Free Cash Flow</t>
  </si>
  <si>
    <t>Interest Expense</t>
  </si>
  <si>
    <t>Term</t>
  </si>
  <si>
    <t>Valuation</t>
  </si>
  <si>
    <t>Weighted Average Cost of Capital</t>
  </si>
  <si>
    <t>Enterprise Value</t>
  </si>
  <si>
    <t>Manual Method</t>
  </si>
  <si>
    <t>Terminal Growth Rate</t>
  </si>
  <si>
    <t>Valuation Date</t>
  </si>
  <si>
    <t>Terminal Value</t>
  </si>
  <si>
    <t>Total Cash Flow</t>
  </si>
  <si>
    <t>Years for Discounting</t>
  </si>
  <si>
    <t>(YY-MM-DD)</t>
  </si>
  <si>
    <t>WACC</t>
  </si>
  <si>
    <t>Name</t>
  </si>
  <si>
    <t>Region</t>
  </si>
  <si>
    <t>Debt</t>
  </si>
  <si>
    <t>Equity</t>
  </si>
  <si>
    <t>Debt/</t>
  </si>
  <si>
    <t>Capital</t>
  </si>
  <si>
    <t>Levered</t>
  </si>
  <si>
    <t>Unlevered</t>
  </si>
  <si>
    <t>Median</t>
  </si>
  <si>
    <t>Total Debt</t>
  </si>
  <si>
    <t>Cost of Debt</t>
  </si>
  <si>
    <t>Pre-Tax Cost of Debt</t>
  </si>
  <si>
    <t>After-Tax Cost of Debt</t>
  </si>
  <si>
    <t>Cost of Equity</t>
  </si>
  <si>
    <t>Risk Free Rate</t>
  </si>
  <si>
    <t>Cost</t>
  </si>
  <si>
    <t>Market Capitalization</t>
  </si>
  <si>
    <t>Total Capitalization</t>
  </si>
  <si>
    <t>Debt Capital</t>
  </si>
  <si>
    <t>Equity Capital</t>
  </si>
  <si>
    <t>Risk Premium for Equity</t>
  </si>
  <si>
    <t>Equity Value</t>
  </si>
  <si>
    <t>Net Debt</t>
  </si>
  <si>
    <t>Equity Value per Share</t>
  </si>
  <si>
    <t>Shares Outstanding</t>
  </si>
  <si>
    <t>($/sh)</t>
  </si>
  <si>
    <t>Current Taxes (Levered)</t>
  </si>
  <si>
    <t>Current Taxes (Unlevered)</t>
  </si>
  <si>
    <t>REVENUE</t>
  </si>
  <si>
    <t>PRICING</t>
  </si>
  <si>
    <t>SG&amp;A</t>
  </si>
  <si>
    <t>Property Plant &amp; Equipment</t>
  </si>
  <si>
    <t>Materials</t>
  </si>
  <si>
    <t>TOTAL AMOUNTS</t>
  </si>
  <si>
    <t>COGS</t>
  </si>
  <si>
    <t>Total Tax Shield</t>
  </si>
  <si>
    <t>Drivers</t>
  </si>
  <si>
    <t>OPERATIONS</t>
  </si>
  <si>
    <t>FIXED COSTS</t>
  </si>
  <si>
    <t>VARIABLE COSTS</t>
  </si>
  <si>
    <t>SUMMARY</t>
  </si>
  <si>
    <t>Current Assets</t>
  </si>
  <si>
    <t>Current Liabilities</t>
  </si>
  <si>
    <t>Cash from Working Capital Items</t>
  </si>
  <si>
    <t>NET WORKING CAPITAL</t>
  </si>
  <si>
    <t>Weight</t>
  </si>
  <si>
    <t>Working Capital Schedule</t>
  </si>
  <si>
    <t>Target</t>
  </si>
  <si>
    <t>Capital Structure</t>
  </si>
  <si>
    <t>First Expected Cash Flow</t>
  </si>
  <si>
    <t>Current</t>
  </si>
  <si>
    <t>Debt / Equity</t>
  </si>
  <si>
    <t>Depreciation Schedule</t>
  </si>
  <si>
    <t xml:space="preserve"> </t>
  </si>
  <si>
    <t>Enterprise</t>
  </si>
  <si>
    <t>Value</t>
  </si>
  <si>
    <t>Current Stock Price</t>
  </si>
  <si>
    <t>Premium (Discount) to Stock Price</t>
  </si>
  <si>
    <t>(FD 000)</t>
  </si>
  <si>
    <t>(US$/sh)</t>
  </si>
  <si>
    <t>Per Share</t>
  </si>
  <si>
    <t>Model Drivers Set To</t>
  </si>
  <si>
    <t>Driver Switch</t>
  </si>
  <si>
    <t>Inflation Rate</t>
  </si>
  <si>
    <t>Best Case</t>
  </si>
  <si>
    <t>Base Case</t>
  </si>
  <si>
    <t>Worst Case</t>
  </si>
  <si>
    <t>Average Unlevered Beta</t>
  </si>
  <si>
    <t>Unused Tax Losses Remaining?</t>
  </si>
  <si>
    <t>First Year of Forecast</t>
  </si>
  <si>
    <t>Fiscal Year End</t>
  </si>
  <si>
    <t>Projected Interest Expense</t>
  </si>
  <si>
    <t>Other Inputs</t>
  </si>
  <si>
    <t>Dates</t>
  </si>
  <si>
    <t>Selected Inputs</t>
  </si>
  <si>
    <t>Partial Period Adjustment</t>
  </si>
  <si>
    <t>Cash Flow Timing</t>
  </si>
  <si>
    <t>Incorrect Date Set for Valuation?</t>
  </si>
  <si>
    <t>Incorrect Date Set for First Cash Flow?</t>
  </si>
  <si>
    <t>Weighted Average Cost of Capital (WACC)</t>
  </si>
  <si>
    <t>(Years)</t>
  </si>
  <si>
    <t>First Fiscal Year End for Forecast</t>
  </si>
  <si>
    <r>
      <t xml:space="preserve">Levered Beta </t>
    </r>
    <r>
      <rPr>
        <vertAlign val="superscript"/>
        <sz val="10"/>
        <color rgb="FF000000"/>
        <rFont val="Open Sans"/>
        <family val="2"/>
      </rPr>
      <t>4</t>
    </r>
  </si>
  <si>
    <t>Terminal Growth Greater Than or Equal To WACC?</t>
  </si>
  <si>
    <t xml:space="preserve">All PP&amp;E and capital expenditure is assumed depreciable (i.e. no land balance). </t>
  </si>
  <si>
    <t xml:space="preserve">The Enterprise Value from the XNPV Function is slightly different due to treatment of leap years. </t>
  </si>
  <si>
    <r>
      <t xml:space="preserve">Working Capital </t>
    </r>
    <r>
      <rPr>
        <b/>
        <vertAlign val="superscript"/>
        <sz val="10"/>
        <color rgb="FF000000"/>
        <rFont val="Open Sans"/>
        <family val="2"/>
      </rPr>
      <t>1</t>
    </r>
  </si>
  <si>
    <t>Two UFCF Methods Different?</t>
  </si>
  <si>
    <t xml:space="preserve">Model assumes no dispositions that would impact the PP&amp;E or the Tax Basis. </t>
  </si>
  <si>
    <t xml:space="preserve">Capital Expenditure </t>
  </si>
  <si>
    <r>
      <t xml:space="preserve">EXISTING ASSET DEPRECIATION </t>
    </r>
    <r>
      <rPr>
        <b/>
        <vertAlign val="superscript"/>
        <sz val="10"/>
        <rFont val="Open Sans"/>
        <family val="2"/>
      </rPr>
      <t>1</t>
    </r>
  </si>
  <si>
    <r>
      <t xml:space="preserve">NEW ASSET DEPRECIATION </t>
    </r>
    <r>
      <rPr>
        <b/>
        <vertAlign val="superscript"/>
        <sz val="10"/>
        <rFont val="Open Sans"/>
        <family val="2"/>
      </rPr>
      <t>1</t>
    </r>
  </si>
  <si>
    <r>
      <t xml:space="preserve">PROPERTY PLANT &amp; EQUIPMENT </t>
    </r>
    <r>
      <rPr>
        <b/>
        <vertAlign val="superscript"/>
        <sz val="10"/>
        <rFont val="Open Sans"/>
        <family val="2"/>
      </rPr>
      <t>1</t>
    </r>
  </si>
  <si>
    <r>
      <t xml:space="preserve">TAX BASIS </t>
    </r>
    <r>
      <rPr>
        <b/>
        <vertAlign val="superscript"/>
        <sz val="10"/>
        <rFont val="Open Sans"/>
        <family val="2"/>
      </rPr>
      <t>1</t>
    </r>
  </si>
  <si>
    <t>ADJUSTMENT FOR DEPRECIATION</t>
  </si>
  <si>
    <r>
      <t xml:space="preserve">ADJUSTMENT FOR TAX LOSSES </t>
    </r>
    <r>
      <rPr>
        <b/>
        <vertAlign val="superscript"/>
        <sz val="10"/>
        <rFont val="Open Sans"/>
        <family val="2"/>
      </rPr>
      <t>1</t>
    </r>
  </si>
  <si>
    <t>TAX LOSSES</t>
  </si>
  <si>
    <t>TAXES</t>
  </si>
  <si>
    <t>TAX SHIELD FROM INTEREST</t>
  </si>
  <si>
    <t>EBITDA METHOD</t>
  </si>
  <si>
    <t>NET INCOME METHOD</t>
  </si>
  <si>
    <t>ENTERPRISE VALUE</t>
  </si>
  <si>
    <t>EQUITY VALUE</t>
  </si>
  <si>
    <t>EQUITY VALUE PER SHARE</t>
  </si>
  <si>
    <t>(YYYY)</t>
  </si>
  <si>
    <t>Operational Capacity Exceeded?</t>
  </si>
  <si>
    <t>Tax Basis for PP&amp;E</t>
  </si>
  <si>
    <t>Tax Losses</t>
  </si>
  <si>
    <t>Discounted Cash Flow Schedule: Perpetuity Method</t>
  </si>
  <si>
    <t xml:space="preserve">We have assumed working capital amounts per day in terminal year are equal to the previous year. </t>
  </si>
  <si>
    <t xml:space="preserve">Tax Rate is a 5-Year Average. </t>
  </si>
  <si>
    <t xml:space="preserve">Levered beta is based on 5-year monthly data. </t>
  </si>
  <si>
    <t xml:space="preserve">Unlevered Beta = Levered Beta / (1 + (1 - Tax Rate) × Debt-to-Equity) </t>
  </si>
  <si>
    <t xml:space="preserve">Levered Beta = Unlevered Beta x (1 + (1 - Tax rate) x (Debt-to-Equity)) </t>
  </si>
  <si>
    <t xml:space="preserve">This schedule calculates depreciation on a straight-line basis. </t>
  </si>
  <si>
    <t xml:space="preserve">This schedule assumes that tax losses can be carried forward indefinitely into the future. </t>
  </si>
  <si>
    <t xml:space="preserve">This schedule assumes losses do not carry back to previous periods to reduce taxable income. </t>
  </si>
  <si>
    <t xml:space="preserve">Capital expenditure has been set equal to depreciation in the terminal year. </t>
  </si>
  <si>
    <t xml:space="preserve">This schedule assumes no deferred taxes in the terminal year. </t>
  </si>
  <si>
    <t>Discrete Forecast</t>
  </si>
  <si>
    <t>Labor</t>
  </si>
  <si>
    <t>PV of Discrete</t>
  </si>
  <si>
    <t>PV of Terminal</t>
  </si>
  <si>
    <t>Terminal Growth</t>
  </si>
  <si>
    <t>UNADJUSTED CASH FLOW</t>
  </si>
  <si>
    <t>ADJUSTED CASH FLOW</t>
  </si>
  <si>
    <t>DISCOUNTED CASH FLOW</t>
  </si>
  <si>
    <t xml:space="preserve">The Terminal EBITDA multiple should reflect a 'steady-state' industry multiple. </t>
  </si>
  <si>
    <t xml:space="preserve">These tables require the workbook calculation to be set to automatic to update. </t>
  </si>
  <si>
    <t>Line Item</t>
  </si>
  <si>
    <t>Less: Net Debt</t>
  </si>
  <si>
    <t>Market Risk Premium</t>
  </si>
  <si>
    <t>Equity Risk Premium</t>
  </si>
  <si>
    <t>Country Risk Premium</t>
  </si>
  <si>
    <r>
      <t xml:space="preserve">Less: Use of Tax Losses </t>
    </r>
    <r>
      <rPr>
        <vertAlign val="superscript"/>
        <sz val="9"/>
        <rFont val="Open Sans"/>
        <family val="2"/>
      </rPr>
      <t>2</t>
    </r>
  </si>
  <si>
    <r>
      <t xml:space="preserve">TOTAL ASSET DEPRECIATION </t>
    </r>
    <r>
      <rPr>
        <b/>
        <vertAlign val="superscript"/>
        <sz val="9"/>
        <rFont val="Open Sans"/>
        <family val="2"/>
      </rPr>
      <t>2</t>
    </r>
  </si>
  <si>
    <r>
      <t xml:space="preserve">Depreciation </t>
    </r>
    <r>
      <rPr>
        <vertAlign val="superscript"/>
        <sz val="9"/>
        <rFont val="Open Sans"/>
        <family val="2"/>
      </rPr>
      <t>1</t>
    </r>
  </si>
  <si>
    <r>
      <t xml:space="preserve">Deferred Tax </t>
    </r>
    <r>
      <rPr>
        <vertAlign val="superscript"/>
        <sz val="9"/>
        <rFont val="Open Sans"/>
        <family val="2"/>
      </rPr>
      <t>2</t>
    </r>
  </si>
  <si>
    <r>
      <t xml:space="preserve">XNPV Function </t>
    </r>
    <r>
      <rPr>
        <vertAlign val="superscript"/>
        <sz val="9"/>
        <color rgb="FF000000"/>
        <rFont val="Open Sans"/>
        <family val="2"/>
      </rPr>
      <t>1</t>
    </r>
  </si>
  <si>
    <t>Tax Shield From Interest</t>
  </si>
  <si>
    <t>Total Salary</t>
  </si>
  <si>
    <t>staff work on steel production 10%</t>
  </si>
  <si>
    <t>operating efficiently risk</t>
  </si>
  <si>
    <t>Competitor B</t>
  </si>
  <si>
    <t>Competitor C</t>
  </si>
  <si>
    <t>Brazil</t>
  </si>
  <si>
    <t>AMOUNTS PER %</t>
  </si>
  <si>
    <t xml:space="preserve">Tax Rate </t>
  </si>
  <si>
    <t xml:space="preserve">Beta </t>
  </si>
  <si>
    <t>INCOME STATEMENT</t>
  </si>
  <si>
    <t>EBITDA Margin</t>
  </si>
  <si>
    <t>Net Income Margin</t>
  </si>
  <si>
    <t>CASH FLOW STATEMENT</t>
  </si>
  <si>
    <t>Operating</t>
  </si>
  <si>
    <t>Investing</t>
  </si>
  <si>
    <t>Financing</t>
  </si>
  <si>
    <t>Change in Cash</t>
  </si>
  <si>
    <t>Cash Flow Statement</t>
  </si>
  <si>
    <t>CASH FROM OPERATING</t>
  </si>
  <si>
    <t>Cash From Accounts Receivable</t>
  </si>
  <si>
    <t>Cash From Inventory</t>
  </si>
  <si>
    <t>Cash From Accounts Payable</t>
  </si>
  <si>
    <t/>
  </si>
  <si>
    <t>CASH FROM INVESTING</t>
  </si>
  <si>
    <t>CASH FROM FINANCING</t>
  </si>
  <si>
    <t>Change in Long-Term Debt</t>
  </si>
  <si>
    <t>Change in Revolving Credit Line</t>
  </si>
  <si>
    <t>Change in Common Equity</t>
  </si>
  <si>
    <t>Dividends</t>
  </si>
  <si>
    <t>CASE BALANCE</t>
  </si>
  <si>
    <t>Beginning of the Year</t>
  </si>
  <si>
    <t>Increase / (Decrease)</t>
  </si>
  <si>
    <t>End of the Year</t>
  </si>
  <si>
    <t>Balance Sheet</t>
  </si>
  <si>
    <t>ASSETS</t>
  </si>
  <si>
    <t>Cash</t>
  </si>
  <si>
    <t>Inventories</t>
  </si>
  <si>
    <t>Total Current Assets</t>
  </si>
  <si>
    <t>Total Assets</t>
  </si>
  <si>
    <t>LIABILITIES</t>
  </si>
  <si>
    <t>Total Current Liabilities</t>
  </si>
  <si>
    <t>Long-Term Debt</t>
  </si>
  <si>
    <t>Total Liabilities</t>
  </si>
  <si>
    <t>EQUITY</t>
  </si>
  <si>
    <t>Common Equity</t>
  </si>
  <si>
    <t>Retained Earnings</t>
  </si>
  <si>
    <t>Total Shareholders' Equity</t>
  </si>
  <si>
    <t>Total Liabilities &amp; Equity</t>
  </si>
  <si>
    <t>Check</t>
  </si>
  <si>
    <t>CASH CHANGES</t>
  </si>
  <si>
    <t>OTHER ASSET</t>
  </si>
  <si>
    <t>Financial statements</t>
  </si>
  <si>
    <t>https://pages.stern.nyu.edu/~adamodar/New_Home_Page/datafile/ctryprem.html</t>
  </si>
  <si>
    <t>http://www.market-risk-premia.com/sa.html</t>
  </si>
  <si>
    <t>FCF</t>
  </si>
  <si>
    <r>
      <t xml:space="preserve">Main Outputs </t>
    </r>
    <r>
      <rPr>
        <b/>
        <vertAlign val="superscript"/>
        <sz val="10"/>
        <color theme="0"/>
        <rFont val="Open Sans"/>
        <family val="2"/>
      </rPr>
      <t>1</t>
    </r>
  </si>
  <si>
    <r>
      <t xml:space="preserve">Enterprise Value </t>
    </r>
    <r>
      <rPr>
        <b/>
        <vertAlign val="superscript"/>
        <sz val="10"/>
        <color theme="0"/>
        <rFont val="Open Sans"/>
        <family val="2"/>
      </rPr>
      <t>1</t>
    </r>
  </si>
  <si>
    <t>Total Dicount Cash Flow</t>
  </si>
  <si>
    <t>NPV for steel production</t>
  </si>
  <si>
    <t xml:space="preserve">3M Company </t>
  </si>
  <si>
    <r>
      <t xml:space="preserve">Terminal EBITDA Multiple </t>
    </r>
    <r>
      <rPr>
        <vertAlign val="superscript"/>
        <sz val="10"/>
        <color theme="0"/>
        <rFont val="Open Sans"/>
        <family val="2"/>
      </rPr>
      <t>1</t>
    </r>
  </si>
  <si>
    <t>2023Bud</t>
  </si>
  <si>
    <t>(Units/Ton)</t>
  </si>
  <si>
    <t>Budget Vs Actual</t>
  </si>
  <si>
    <t>Variance Δ</t>
  </si>
  <si>
    <t>Budget</t>
  </si>
  <si>
    <t>Actual</t>
  </si>
  <si>
    <t>%</t>
  </si>
  <si>
    <t>Volume</t>
  </si>
  <si>
    <t>Price</t>
  </si>
  <si>
    <t>Per unit</t>
  </si>
  <si>
    <t>Profit</t>
  </si>
  <si>
    <t>(Units/ton)</t>
  </si>
  <si>
    <t>Recommendations</t>
  </si>
  <si>
    <t>Local Players</t>
  </si>
  <si>
    <t>Plant capacity (tons)</t>
  </si>
  <si>
    <t>Local sales</t>
  </si>
  <si>
    <t>Export sales</t>
  </si>
  <si>
    <t>Client 3M (A)</t>
  </si>
  <si>
    <t>-</t>
  </si>
  <si>
    <t>Total</t>
  </si>
  <si>
    <t>Cap to market</t>
  </si>
  <si>
    <t>Market shair internationally</t>
  </si>
  <si>
    <t>Efficient plant</t>
  </si>
  <si>
    <t>Export price</t>
  </si>
  <si>
    <t xml:space="preserve">Built up cost </t>
  </si>
  <si>
    <t>Investing in increasing Plant capacity</t>
  </si>
  <si>
    <t>Market share</t>
  </si>
  <si>
    <t>Activating strategies to increase  company Local Market share</t>
  </si>
  <si>
    <t>Activating strategies to increase  company internationally Market share</t>
  </si>
  <si>
    <t>Quantit</t>
  </si>
  <si>
    <t>Waterfall Chart</t>
  </si>
  <si>
    <t>Sales Volume Growth (Fixed )</t>
  </si>
  <si>
    <t>Sales Volume Growth (Variable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</si>
</sst>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_(#,##0_)_%;\(#,##0\)_%;_(&quot;–&quot;_)_%;_(@_)_%"/>
    <numFmt numFmtId="166" formatCode="_-* #,##0_-;\(#,##0\)_-;_-* &quot;-&quot;_-;_-@_-"/>
    <numFmt numFmtId="167" formatCode="0&quot;A&quot;"/>
    <numFmt numFmtId="168" formatCode="0&quot;F&quot;"/>
    <numFmt numFmtId="169" formatCode="_(#,##0_);\(#,##0\);_(&quot;–&quot;_);_(@_)"/>
    <numFmt numFmtId="170" formatCode="#,##0_);[Red]\(#,##0\);\-"/>
    <numFmt numFmtId="171" formatCode="#,##0_);\(#,##0\);\-"/>
    <numFmt numFmtId="172" formatCode="_(#,##0.0%_);\(#,##0.0%\);_(&quot;–&quot;_)_%;_(@_)_%"/>
    <numFmt numFmtId="173" formatCode="0.0%"/>
    <numFmt numFmtId="174" formatCode="_(#,##0.00_);\(#,##0.00\);_(&quot;–&quot;_);_(@_)"/>
    <numFmt numFmtId="175" formatCode="#,##0.0_);\(#,##0.0\);\-"/>
    <numFmt numFmtId="176" formatCode="#,##0.00_);\(#,##0.00\);\-"/>
    <numFmt numFmtId="177" formatCode="_(#,##0%_);\(#,##0%\);_(&quot;–&quot;_)_%;_(@_)_%"/>
    <numFmt numFmtId="178" formatCode="0&quot;F&quot;\ "/>
    <numFmt numFmtId="179" formatCode="yy/mm/dd"/>
    <numFmt numFmtId="180" formatCode="_(0.00\x_)_)_';_(\(0.00\x\)_'_';_(&quot;–&quot;_);_(@_)"/>
    <numFmt numFmtId="181" formatCode="_-* #,##0_-;\-* #,##0_-;_-* &quot;-&quot;??_-;_-@_-"/>
    <numFmt numFmtId="182" formatCode="yyyy/mm/dd;@"/>
    <numFmt numFmtId="183" formatCode="[=1]&quot;Yes&quot;_);[=0]&quot;No&quot;_)"/>
    <numFmt numFmtId="184" formatCode="@\⁽\¹\⁾"/>
    <numFmt numFmtId="185" formatCode="@\⁽\²\⁾"/>
    <numFmt numFmtId="186" formatCode="[=0]&quot;-&quot;_);[=1]&quot;Yes&quot;_)"/>
    <numFmt numFmtId="187" formatCode="&quot;Yes&quot;;&quot;ERROR&quot;;&quot;No&quot;;&quot;ERROR&quot;"/>
    <numFmt numFmtId="188" formatCode="_(#,##0_)\⁽\¹\⁾;\(#,##0\)\⁽\¹\⁾;_(&quot;–&quot;_)\⁽\¹\⁾;_(@_)\⁽\¹\⁾"/>
    <numFmt numFmtId="189" formatCode="_(#,##0_)\⁽\²\⁾;\(#,##0\)\⁽\²\⁾;_(&quot;–&quot;_)\⁽\²\⁾;_(@_)\⁽\²\⁾"/>
    <numFmt numFmtId="190" formatCode="@\⁽\³\⁾"/>
    <numFmt numFmtId="191" formatCode="@\⁽\⁴\⁾"/>
    <numFmt numFmtId="192" formatCode="&quot;Yes&quot;_);&quot;ERROR&quot;_);&quot;No&quot;_);&quot;ERROR&quot;_)"/>
    <numFmt numFmtId="193" formatCode="_(0.0000\x_);\(0.0000\x\);_(&quot;–&quot;_);_(@_)"/>
    <numFmt numFmtId="194" formatCode="_(0.0\x_);\(0.0\x\);_(&quot;–&quot;_);_(@_)"/>
    <numFmt numFmtId="195" formatCode="_-* #,##0.00_-;\(#,##0.00\)_-;_-* &quot;-&quot;_-;_-@_-"/>
    <numFmt numFmtId="196" formatCode="0000_)"/>
    <numFmt numFmtId="197" formatCode="yyyy/mm/dd_)"/>
    <numFmt numFmtId="198" formatCode="&quot;Yr&quot;\ 0_)"/>
    <numFmt numFmtId="199" formatCode="0.00000000000000%"/>
    <numFmt numFmtId="200" formatCode="_(* #,##0_);_(* \(#,##0\);_(* &quot;-&quot;??_);_(@_)"/>
    <numFmt numFmtId="201" formatCode="&quot;+&quot;0.0%;&quot;-&quot;0.0%"/>
    <numFmt numFmtId="202" formatCode="_(* #,##0.000_);_(* \(#,##0.000\);_(* &quot;-&quot;??_);_(@_)"/>
    <numFmt numFmtId="203" formatCode="_(* #,##0.000000_);_(* \(#,##0.000000\);_(* &quot;-&quot;??_);_(@_)"/>
    <numFmt numFmtId="204" formatCode="&quot;$&quot;#,##0.00"/>
  </numFmts>
  <fonts count="89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0"/>
      <color theme="0"/>
      <name val="Open Sans"/>
      <family val="2"/>
    </font>
    <font>
      <sz val="10"/>
      <color theme="0"/>
      <name val="Open Sans"/>
      <family val="2"/>
    </font>
    <font>
      <u/>
      <sz val="10"/>
      <color theme="10"/>
      <name val="Arial"/>
      <family val="2"/>
    </font>
    <font>
      <sz val="11"/>
      <color theme="0"/>
      <name val="Open Sans"/>
      <family val="2"/>
    </font>
    <font>
      <b/>
      <sz val="16"/>
      <color theme="0"/>
      <name val="Open Sans"/>
      <family val="2"/>
    </font>
    <font>
      <sz val="10"/>
      <name val="Bookman"/>
      <family val="1"/>
    </font>
    <font>
      <sz val="11"/>
      <color theme="1"/>
      <name val="Open Sans"/>
      <family val="2"/>
    </font>
    <font>
      <i/>
      <sz val="11"/>
      <color theme="1"/>
      <name val="Open Sans"/>
      <family val="2"/>
    </font>
    <font>
      <sz val="14"/>
      <color theme="1"/>
      <name val="Open Sans"/>
      <family val="2"/>
    </font>
    <font>
      <b/>
      <sz val="14"/>
      <color rgb="FF3271D2"/>
      <name val="Open Sans"/>
      <family val="2"/>
    </font>
    <font>
      <b/>
      <sz val="14"/>
      <color rgb="FF0000FF"/>
      <name val="Open Sans"/>
      <family val="2"/>
    </font>
    <font>
      <i/>
      <sz val="9"/>
      <name val="Open Sans"/>
      <family val="2"/>
    </font>
    <font>
      <b/>
      <sz val="10"/>
      <name val="Open Sans"/>
      <family val="2"/>
    </font>
    <font>
      <sz val="11"/>
      <name val="Open Sans"/>
      <family val="2"/>
    </font>
    <font>
      <sz val="10"/>
      <color rgb="FF000000"/>
      <name val="Open Sans"/>
      <family val="2"/>
    </font>
    <font>
      <sz val="10"/>
      <name val="Open Sans"/>
      <family val="2"/>
    </font>
    <font>
      <sz val="10"/>
      <color rgb="FF3271D2"/>
      <name val="Open Sans"/>
      <family val="2"/>
    </font>
    <font>
      <b/>
      <sz val="10"/>
      <color rgb="FF000000"/>
      <name val="Open Sans"/>
      <family val="2"/>
    </font>
    <font>
      <i/>
      <sz val="10"/>
      <name val="Open Sans"/>
      <family val="2"/>
    </font>
    <font>
      <i/>
      <sz val="8"/>
      <name val="Open Sans"/>
      <family val="2"/>
    </font>
    <font>
      <b/>
      <sz val="11"/>
      <name val="Open Sans"/>
      <family val="2"/>
    </font>
    <font>
      <sz val="10"/>
      <color rgb="FF0000FF"/>
      <name val="Open Sans"/>
      <family val="2"/>
    </font>
    <font>
      <i/>
      <sz val="10"/>
      <color rgb="FF3271D2"/>
      <name val="Open Sans"/>
      <family val="2"/>
    </font>
    <font>
      <sz val="10"/>
      <color rgb="FFFF0000"/>
      <name val="Open Sans"/>
      <family val="2"/>
    </font>
    <font>
      <b/>
      <sz val="10"/>
      <color rgb="FF0000FF"/>
      <name val="Open Sans"/>
      <family val="2"/>
    </font>
    <font>
      <i/>
      <sz val="10"/>
      <color rgb="FF000000"/>
      <name val="Open Sans"/>
      <family val="2"/>
    </font>
    <font>
      <i/>
      <sz val="9"/>
      <color rgb="FF000000"/>
      <name val="Open Sans"/>
      <family val="2"/>
    </font>
    <font>
      <b/>
      <sz val="10"/>
      <color rgb="FFFFFFFF"/>
      <name val="Open Sans"/>
      <family val="2"/>
    </font>
    <font>
      <sz val="10"/>
      <color theme="9" tint="-0.249977111117893"/>
      <name val="Open Sans"/>
      <family val="2"/>
    </font>
    <font>
      <b/>
      <i/>
      <sz val="10"/>
      <color theme="0"/>
      <name val="Open Sans"/>
      <family val="2"/>
    </font>
    <font>
      <b/>
      <i/>
      <sz val="10"/>
      <name val="Open Sans"/>
      <family val="2"/>
    </font>
    <font>
      <sz val="8"/>
      <name val="Open Sans"/>
      <family val="2"/>
    </font>
    <font>
      <b/>
      <sz val="10"/>
      <color rgb="FF3271D2"/>
      <name val="Open Sans"/>
      <family val="2"/>
    </font>
    <font>
      <b/>
      <sz val="10"/>
      <color theme="1"/>
      <name val="Open Sans"/>
      <family val="2"/>
    </font>
    <font>
      <i/>
      <sz val="10"/>
      <color theme="1"/>
      <name val="Open Sans"/>
      <family val="2"/>
    </font>
    <font>
      <sz val="12"/>
      <color theme="1"/>
      <name val="Open Sans"/>
      <family val="2"/>
    </font>
    <font>
      <b/>
      <sz val="14"/>
      <color theme="0"/>
      <name val="Open Sans"/>
      <family val="2"/>
    </font>
    <font>
      <b/>
      <sz val="11"/>
      <color rgb="FF3271D2"/>
      <name val="Open Sans"/>
      <family val="2"/>
    </font>
    <font>
      <i/>
      <sz val="10"/>
      <color rgb="FFFF0000"/>
      <name val="Open Sans"/>
      <family val="2"/>
    </font>
    <font>
      <sz val="9"/>
      <name val="Open Sans"/>
      <family val="2"/>
    </font>
    <font>
      <sz val="14"/>
      <color rgb="FF000000"/>
      <name val="Open Sans"/>
      <family val="2"/>
    </font>
    <font>
      <sz val="10"/>
      <color rgb="FFFA621C"/>
      <name val="Open Sans"/>
      <family val="2"/>
    </font>
    <font>
      <sz val="11"/>
      <color rgb="FFFA621C"/>
      <name val="Open Sans"/>
      <family val="2"/>
    </font>
    <font>
      <b/>
      <i/>
      <sz val="10"/>
      <color rgb="FF3271D2"/>
      <name val="Open Sans"/>
      <family val="2"/>
    </font>
    <font>
      <i/>
      <sz val="11"/>
      <color rgb="FF000000"/>
      <name val="Open Sans"/>
      <family val="2"/>
    </font>
    <font>
      <i/>
      <sz val="8"/>
      <color theme="1"/>
      <name val="Open Sans"/>
      <family val="2"/>
    </font>
    <font>
      <i/>
      <sz val="8"/>
      <color rgb="FF000000"/>
      <name val="Open Sans"/>
      <family val="2"/>
    </font>
    <font>
      <b/>
      <sz val="9"/>
      <color rgb="FF000000"/>
      <name val="Open Sans"/>
      <family val="2"/>
    </font>
    <font>
      <sz val="11"/>
      <color rgb="FF000000"/>
      <name val="Open Sans"/>
      <family val="2"/>
    </font>
    <font>
      <vertAlign val="superscript"/>
      <sz val="10"/>
      <color rgb="FF000000"/>
      <name val="Open Sans"/>
      <family val="2"/>
    </font>
    <font>
      <b/>
      <vertAlign val="superscript"/>
      <sz val="10"/>
      <name val="Open Sans"/>
      <family val="2"/>
    </font>
    <font>
      <b/>
      <vertAlign val="superscript"/>
      <sz val="10"/>
      <color rgb="FF000000"/>
      <name val="Open Sans"/>
      <family val="2"/>
    </font>
    <font>
      <sz val="9"/>
      <color rgb="FF000000"/>
      <name val="Open Sans"/>
      <family val="2"/>
    </font>
    <font>
      <sz val="10"/>
      <color rgb="FFC32838"/>
      <name val="Open Sans"/>
      <family val="2"/>
    </font>
    <font>
      <b/>
      <i/>
      <sz val="11"/>
      <color rgb="FFFA621C"/>
      <name val="Open Sans"/>
      <family val="2"/>
    </font>
    <font>
      <b/>
      <sz val="11"/>
      <color rgb="FFFA621C"/>
      <name val="Open Sans"/>
      <family val="2"/>
    </font>
    <font>
      <sz val="11"/>
      <color rgb="FFC32838"/>
      <name val="Open Sans"/>
      <family val="2"/>
    </font>
    <font>
      <vertAlign val="superscript"/>
      <sz val="9"/>
      <name val="Open Sans"/>
      <family val="2"/>
    </font>
    <font>
      <b/>
      <vertAlign val="superscript"/>
      <sz val="9"/>
      <name val="Open Sans"/>
      <family val="2"/>
    </font>
    <font>
      <vertAlign val="superscript"/>
      <sz val="9"/>
      <color rgb="FF000000"/>
      <name val="Open Sans"/>
      <family val="2"/>
    </font>
    <font>
      <sz val="9"/>
      <color theme="0"/>
      <name val="Open Sans"/>
      <family val="2"/>
    </font>
    <font>
      <sz val="10"/>
      <color rgb="FF33333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3271D2"/>
      <name val="Arial Narrow"/>
      <family val="2"/>
    </font>
    <font>
      <sz val="11"/>
      <name val="Arial Narrow"/>
      <family val="2"/>
    </font>
    <font>
      <sz val="14"/>
      <color theme="0"/>
      <name val="Open Sans"/>
      <family val="2"/>
    </font>
    <font>
      <i/>
      <sz val="8"/>
      <color theme="0"/>
      <name val="Open Sans"/>
      <family val="2"/>
    </font>
    <font>
      <sz val="11"/>
      <color theme="0"/>
      <name val="Arial Narrow"/>
      <family val="2"/>
    </font>
    <font>
      <i/>
      <sz val="10"/>
      <color theme="0"/>
      <name val="Open Sans"/>
      <family val="2"/>
    </font>
    <font>
      <u/>
      <sz val="11"/>
      <color theme="10"/>
      <name val="Calibri"/>
      <family val="2"/>
      <scheme val="minor"/>
    </font>
    <font>
      <i/>
      <sz val="9"/>
      <color theme="0"/>
      <name val="Open Sans"/>
      <family val="2"/>
    </font>
    <font>
      <b/>
      <vertAlign val="superscript"/>
      <sz val="10"/>
      <color theme="0"/>
      <name val="Open Sans"/>
      <family val="2"/>
    </font>
    <font>
      <b/>
      <sz val="26"/>
      <color theme="0"/>
      <name val="Open Sans"/>
      <family val="2"/>
    </font>
    <font>
      <sz val="12"/>
      <color theme="0"/>
      <name val="Open Sans"/>
      <family val="2"/>
    </font>
    <font>
      <vertAlign val="superscript"/>
      <sz val="10"/>
      <color theme="0"/>
      <name val="Open Sans"/>
      <family val="2"/>
    </font>
    <font>
      <i/>
      <sz val="11"/>
      <color theme="0"/>
      <name val="Open Sans"/>
      <family val="2"/>
    </font>
    <font>
      <b/>
      <sz val="11"/>
      <color theme="0"/>
      <name val="Open Sans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rgb="FF0000FF"/>
      <name val="Arial Narrow"/>
      <family val="2"/>
    </font>
    <font>
      <sz val="10"/>
      <color theme="0"/>
      <name val="Arial Narrow"/>
      <family val="2"/>
    </font>
    <font>
      <u/>
      <sz val="11"/>
      <color theme="10"/>
      <name val="Arial Narrow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4"/>
      <color rgb="FF202124"/>
      <name val="Inherit"/>
    </font>
    <font>
      <sz val="18"/>
      <color theme="0"/>
      <name val="Open Sans"/>
      <family val="2"/>
    </font>
  </fonts>
  <fills count="14">
    <fill>
      <patternFill patternType="none"/>
    </fill>
    <fill>
      <patternFill patternType="gray125"/>
    </fill>
    <fill>
      <patternFill patternType="solid">
        <fgColor rgb="FFD9E5F7"/>
        <bgColor rgb="FF000000"/>
      </patternFill>
    </fill>
    <fill>
      <patternFill patternType="solid">
        <fgColor rgb="FF7030A0"/>
        <bgColor indexed="64"/>
      </patternFill>
    </fill>
    <fill>
      <patternFill patternType="solid">
        <fgColor theme="1" tint="4.9989318521683403E-2"/>
        <bgColor rgb="FF000000"/>
      </patternFill>
    </fill>
    <fill>
      <patternFill patternType="solid">
        <fgColor theme="1" tint="4.9989318521683403E-2"/>
        <bgColor rgb="FF00C8FF"/>
      </patternFill>
    </fill>
    <fill>
      <patternFill patternType="solid">
        <fgColor rgb="FF132E5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D942D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rgb="FF3271D2"/>
      </bottom>
      <diagonal/>
    </border>
    <border>
      <left/>
      <right/>
      <top style="thin">
        <color rgb="FF3271D2"/>
      </top>
      <bottom style="medium">
        <color rgb="FF3271D2"/>
      </bottom>
      <diagonal/>
    </border>
    <border>
      <left/>
      <right/>
      <top/>
      <bottom style="hair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thin">
        <color rgb="FF3271D2"/>
      </top>
      <bottom/>
      <diagonal/>
    </border>
    <border>
      <left/>
      <right/>
      <top/>
      <bottom style="thin">
        <color rgb="FF3271D2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FA621C"/>
      </top>
      <bottom/>
      <diagonal/>
    </border>
    <border>
      <left/>
      <right/>
      <top style="medium">
        <color rgb="FF3271D2"/>
      </top>
      <bottom/>
      <diagonal/>
    </border>
    <border>
      <left/>
      <right/>
      <top style="thin">
        <color rgb="FFFA621C"/>
      </top>
      <bottom style="thin">
        <color rgb="FFFA621C"/>
      </bottom>
      <diagonal/>
    </border>
    <border>
      <left style="thin">
        <color rgb="FF3271D2"/>
      </left>
      <right/>
      <top style="thin">
        <color rgb="FF3271D2"/>
      </top>
      <bottom/>
      <diagonal/>
    </border>
    <border>
      <left style="thin">
        <color rgb="FF3271D2"/>
      </left>
      <right/>
      <top/>
      <bottom/>
      <diagonal/>
    </border>
    <border>
      <left style="thin">
        <color rgb="FF3271D2"/>
      </left>
      <right style="thin">
        <color rgb="FF3271D2"/>
      </right>
      <top style="thin">
        <color rgb="FF3271D2"/>
      </top>
      <bottom/>
      <diagonal/>
    </border>
    <border>
      <left style="thin">
        <color rgb="FF3271D2"/>
      </left>
      <right style="thin">
        <color rgb="FF3271D2"/>
      </right>
      <top/>
      <bottom/>
      <diagonal/>
    </border>
    <border>
      <left style="thin">
        <color rgb="FF3271D2"/>
      </left>
      <right style="thin">
        <color rgb="FF3271D2"/>
      </right>
      <top/>
      <bottom style="medium">
        <color rgb="FF3271D2"/>
      </bottom>
      <diagonal/>
    </border>
    <border>
      <left style="thin">
        <color rgb="FFFA621C"/>
      </left>
      <right/>
      <top style="thin">
        <color rgb="FFFA621C"/>
      </top>
      <bottom/>
      <diagonal/>
    </border>
    <border>
      <left/>
      <right style="dotted">
        <color rgb="FF000000"/>
      </right>
      <top style="hair">
        <color rgb="FF000000"/>
      </top>
      <bottom/>
      <diagonal/>
    </border>
    <border>
      <left/>
      <right style="dotted">
        <color rgb="FF000000"/>
      </right>
      <top/>
      <bottom style="hair">
        <color rgb="FF000000"/>
      </bottom>
      <diagonal/>
    </border>
    <border>
      <left style="dotted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otted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3">
    <xf numFmtId="0" fontId="0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16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72" fillId="0" borderId="0" applyNumberFormat="0" applyFill="0" applyBorder="0" applyAlignment="0" applyProtection="0"/>
    <xf numFmtId="0" fontId="80" fillId="0" borderId="0"/>
    <xf numFmtId="43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2" fillId="0" borderId="0"/>
  </cellStyleXfs>
  <cellXfs count="598">
    <xf numFmtId="0" fontId="0" fillId="0" borderId="0" xfId="0"/>
    <xf numFmtId="166" fontId="9" fillId="0" borderId="0" xfId="5" applyNumberFormat="1" applyFont="1" applyProtection="1">
      <protection locked="0"/>
    </xf>
    <xf numFmtId="166" fontId="10" fillId="0" borderId="0" xfId="5" applyNumberFormat="1" applyFont="1" applyProtection="1">
      <protection locked="0"/>
    </xf>
    <xf numFmtId="166" fontId="10" fillId="0" borderId="0" xfId="5" applyNumberFormat="1" applyFont="1" applyAlignment="1" applyProtection="1">
      <alignment horizontal="center"/>
      <protection locked="0"/>
    </xf>
    <xf numFmtId="166" fontId="10" fillId="0" borderId="0" xfId="5" applyNumberFormat="1" applyFont="1" applyAlignment="1">
      <alignment horizontal="right"/>
    </xf>
    <xf numFmtId="37" fontId="11" fillId="0" borderId="0" xfId="0" applyNumberFormat="1" applyFont="1" applyAlignment="1">
      <alignment vertical="center"/>
    </xf>
    <xf numFmtId="37" fontId="13" fillId="0" borderId="0" xfId="0" applyNumberFormat="1" applyFont="1" applyAlignment="1">
      <alignment vertical="center"/>
    </xf>
    <xf numFmtId="37" fontId="3" fillId="0" borderId="0" xfId="0" applyNumberFormat="1" applyFont="1" applyAlignment="1">
      <alignment vertical="center"/>
    </xf>
    <xf numFmtId="37" fontId="4" fillId="0" borderId="0" xfId="0" applyNumberFormat="1" applyFont="1" applyAlignment="1">
      <alignment vertical="center"/>
    </xf>
    <xf numFmtId="167" fontId="3" fillId="0" borderId="0" xfId="0" applyNumberFormat="1" applyFont="1" applyAlignment="1">
      <alignment horizontal="right"/>
    </xf>
    <xf numFmtId="165" fontId="14" fillId="0" borderId="0" xfId="0" applyNumberFormat="1" applyFont="1" applyAlignment="1">
      <alignment vertical="center"/>
    </xf>
    <xf numFmtId="167" fontId="15" fillId="0" borderId="0" xfId="0" applyNumberFormat="1" applyFont="1" applyAlignment="1">
      <alignment horizontal="right"/>
    </xf>
    <xf numFmtId="0" fontId="16" fillId="0" borderId="0" xfId="0" applyFont="1"/>
    <xf numFmtId="0" fontId="17" fillId="0" borderId="0" xfId="0" applyFont="1" applyAlignment="1">
      <alignment horizontal="left"/>
    </xf>
    <xf numFmtId="0" fontId="18" fillId="0" borderId="0" xfId="0" applyFont="1"/>
    <xf numFmtId="169" fontId="19" fillId="0" borderId="4" xfId="0" applyNumberFormat="1" applyFont="1" applyBorder="1"/>
    <xf numFmtId="0" fontId="20" fillId="0" borderId="0" xfId="0" applyFont="1" applyAlignment="1">
      <alignment horizontal="left"/>
    </xf>
    <xf numFmtId="0" fontId="15" fillId="0" borderId="0" xfId="0" applyFont="1"/>
    <xf numFmtId="170" fontId="15" fillId="0" borderId="0" xfId="0" applyNumberFormat="1" applyFont="1"/>
    <xf numFmtId="171" fontId="18" fillId="0" borderId="0" xfId="0" applyNumberFormat="1" applyFont="1"/>
    <xf numFmtId="171" fontId="17" fillId="0" borderId="0" xfId="0" applyNumberFormat="1" applyFont="1"/>
    <xf numFmtId="0" fontId="17" fillId="0" borderId="0" xfId="0" applyFont="1"/>
    <xf numFmtId="0" fontId="22" fillId="0" borderId="0" xfId="0" applyFont="1" applyAlignment="1">
      <alignment horizontal="center"/>
    </xf>
    <xf numFmtId="0" fontId="23" fillId="0" borderId="0" xfId="0" applyFont="1"/>
    <xf numFmtId="171" fontId="17" fillId="0" borderId="4" xfId="0" applyNumberFormat="1" applyFont="1" applyBorder="1"/>
    <xf numFmtId="38" fontId="18" fillId="0" borderId="0" xfId="0" applyNumberFormat="1" applyFont="1"/>
    <xf numFmtId="0" fontId="14" fillId="0" borderId="0" xfId="0" applyFont="1" applyAlignment="1">
      <alignment horizontal="center"/>
    </xf>
    <xf numFmtId="171" fontId="24" fillId="0" borderId="0" xfId="0" applyNumberFormat="1" applyFont="1"/>
    <xf numFmtId="0" fontId="18" fillId="0" borderId="4" xfId="0" applyFont="1" applyBorder="1"/>
    <xf numFmtId="172" fontId="17" fillId="0" borderId="0" xfId="0" applyNumberFormat="1" applyFont="1"/>
    <xf numFmtId="169" fontId="17" fillId="0" borderId="0" xfId="0" applyNumberFormat="1" applyFont="1"/>
    <xf numFmtId="169" fontId="17" fillId="0" borderId="4" xfId="0" applyNumberFormat="1" applyFont="1" applyBorder="1"/>
    <xf numFmtId="165" fontId="14" fillId="0" borderId="4" xfId="0" applyNumberFormat="1" applyFont="1" applyBorder="1" applyAlignment="1">
      <alignment vertical="center"/>
    </xf>
    <xf numFmtId="37" fontId="3" fillId="0" borderId="4" xfId="0" applyNumberFormat="1" applyFont="1" applyBorder="1" applyAlignment="1">
      <alignment vertical="center"/>
    </xf>
    <xf numFmtId="167" fontId="15" fillId="0" borderId="4" xfId="0" applyNumberFormat="1" applyFont="1" applyBorder="1" applyAlignment="1">
      <alignment horizontal="right"/>
    </xf>
    <xf numFmtId="174" fontId="17" fillId="0" borderId="0" xfId="0" applyNumberFormat="1" applyFont="1"/>
    <xf numFmtId="0" fontId="17" fillId="0" borderId="4" xfId="0" applyFont="1" applyBorder="1" applyAlignment="1">
      <alignment horizontal="left"/>
    </xf>
    <xf numFmtId="0" fontId="22" fillId="0" borderId="4" xfId="0" applyFont="1" applyBorder="1" applyAlignment="1">
      <alignment horizontal="center"/>
    </xf>
    <xf numFmtId="0" fontId="17" fillId="0" borderId="4" xfId="0" applyFont="1" applyBorder="1"/>
    <xf numFmtId="168" fontId="15" fillId="0" borderId="0" xfId="0" applyNumberFormat="1" applyFont="1" applyAlignment="1">
      <alignment horizontal="right"/>
    </xf>
    <xf numFmtId="169" fontId="19" fillId="0" borderId="0" xfId="0" applyNumberFormat="1" applyFont="1"/>
    <xf numFmtId="169" fontId="18" fillId="0" borderId="0" xfId="0" applyNumberFormat="1" applyFont="1"/>
    <xf numFmtId="0" fontId="26" fillId="0" borderId="0" xfId="0" applyFont="1" applyAlignment="1">
      <alignment horizontal="left"/>
    </xf>
    <xf numFmtId="0" fontId="15" fillId="0" borderId="4" xfId="0" applyFont="1" applyBorder="1"/>
    <xf numFmtId="170" fontId="15" fillId="0" borderId="4" xfId="0" applyNumberFormat="1" applyFont="1" applyBorder="1"/>
    <xf numFmtId="170" fontId="18" fillId="0" borderId="0" xfId="0" applyNumberFormat="1" applyFont="1"/>
    <xf numFmtId="171" fontId="19" fillId="0" borderId="0" xfId="0" applyNumberFormat="1" applyFont="1"/>
    <xf numFmtId="173" fontId="25" fillId="0" borderId="0" xfId="1" applyNumberFormat="1" applyFont="1" applyBorder="1"/>
    <xf numFmtId="168" fontId="15" fillId="0" borderId="4" xfId="0" applyNumberFormat="1" applyFont="1" applyBorder="1" applyAlignment="1">
      <alignment horizontal="right"/>
    </xf>
    <xf numFmtId="0" fontId="18" fillId="0" borderId="0" xfId="0" applyFont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14" xfId="0" applyFont="1" applyBorder="1" applyAlignment="1">
      <alignment horizontal="left"/>
    </xf>
    <xf numFmtId="165" fontId="29" fillId="0" borderId="4" xfId="0" applyNumberFormat="1" applyFont="1" applyBorder="1" applyAlignment="1">
      <alignment vertical="center"/>
    </xf>
    <xf numFmtId="37" fontId="30" fillId="0" borderId="4" xfId="0" applyNumberFormat="1" applyFont="1" applyBorder="1" applyAlignment="1">
      <alignment vertical="center"/>
    </xf>
    <xf numFmtId="167" fontId="20" fillId="0" borderId="4" xfId="0" applyNumberFormat="1" applyFont="1" applyBorder="1" applyAlignment="1">
      <alignment horizontal="right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Continuous"/>
    </xf>
    <xf numFmtId="168" fontId="15" fillId="0" borderId="0" xfId="0" applyNumberFormat="1" applyFont="1" applyAlignment="1">
      <alignment horizontal="centerContinuous"/>
    </xf>
    <xf numFmtId="0" fontId="15" fillId="0" borderId="0" xfId="0" applyFont="1" applyAlignment="1">
      <alignment horizontal="right"/>
    </xf>
    <xf numFmtId="176" fontId="19" fillId="0" borderId="0" xfId="0" applyNumberFormat="1" applyFont="1" applyAlignment="1">
      <alignment horizontal="right"/>
    </xf>
    <xf numFmtId="167" fontId="15" fillId="0" borderId="0" xfId="0" applyNumberFormat="1" applyFont="1" applyAlignment="1">
      <alignment horizontal="left"/>
    </xf>
    <xf numFmtId="174" fontId="25" fillId="0" borderId="0" xfId="1" applyNumberFormat="1" applyFont="1" applyBorder="1" applyAlignment="1">
      <alignment horizontal="right"/>
    </xf>
    <xf numFmtId="177" fontId="17" fillId="0" borderId="0" xfId="0" applyNumberFormat="1" applyFont="1" applyAlignment="1">
      <alignment horizontal="right"/>
    </xf>
    <xf numFmtId="0" fontId="31" fillId="0" borderId="0" xfId="0" applyFont="1" applyAlignment="1">
      <alignment horizontal="left"/>
    </xf>
    <xf numFmtId="170" fontId="31" fillId="0" borderId="0" xfId="0" applyNumberFormat="1" applyFont="1"/>
    <xf numFmtId="0" fontId="17" fillId="0" borderId="14" xfId="0" applyFont="1" applyBorder="1" applyAlignment="1">
      <alignment horizontal="left"/>
    </xf>
    <xf numFmtId="172" fontId="19" fillId="0" borderId="0" xfId="0" applyNumberFormat="1" applyFont="1" applyAlignment="1">
      <alignment horizontal="right"/>
    </xf>
    <xf numFmtId="174" fontId="19" fillId="0" borderId="0" xfId="1" applyNumberFormat="1" applyFont="1" applyBorder="1" applyAlignment="1">
      <alignment horizontal="right"/>
    </xf>
    <xf numFmtId="176" fontId="17" fillId="0" borderId="0" xfId="0" applyNumberFormat="1" applyFont="1" applyAlignment="1">
      <alignment horizontal="left"/>
    </xf>
    <xf numFmtId="172" fontId="17" fillId="0" borderId="0" xfId="0" applyNumberFormat="1" applyFont="1" applyAlignment="1">
      <alignment horizontal="right"/>
    </xf>
    <xf numFmtId="172" fontId="17" fillId="0" borderId="4" xfId="0" applyNumberFormat="1" applyFont="1" applyBorder="1" applyAlignment="1">
      <alignment horizontal="right"/>
    </xf>
    <xf numFmtId="168" fontId="15" fillId="0" borderId="9" xfId="0" applyNumberFormat="1" applyFont="1" applyBorder="1" applyAlignment="1">
      <alignment horizontal="left"/>
    </xf>
    <xf numFmtId="176" fontId="17" fillId="0" borderId="10" xfId="0" applyNumberFormat="1" applyFont="1" applyBorder="1" applyAlignment="1">
      <alignment horizontal="left"/>
    </xf>
    <xf numFmtId="168" fontId="18" fillId="0" borderId="11" xfId="0" applyNumberFormat="1" applyFont="1" applyBorder="1" applyAlignment="1">
      <alignment horizontal="left"/>
    </xf>
    <xf numFmtId="168" fontId="15" fillId="0" borderId="12" xfId="0" applyNumberFormat="1" applyFont="1" applyBorder="1" applyAlignment="1">
      <alignment horizontal="left"/>
    </xf>
    <xf numFmtId="168" fontId="18" fillId="0" borderId="13" xfId="0" applyNumberFormat="1" applyFont="1" applyBorder="1" applyAlignment="1">
      <alignment horizontal="left"/>
    </xf>
    <xf numFmtId="168" fontId="15" fillId="0" borderId="14" xfId="0" applyNumberFormat="1" applyFont="1" applyBorder="1" applyAlignment="1">
      <alignment horizontal="left"/>
    </xf>
    <xf numFmtId="176" fontId="17" fillId="0" borderId="4" xfId="0" applyNumberFormat="1" applyFont="1" applyBorder="1" applyAlignment="1">
      <alignment horizontal="left"/>
    </xf>
    <xf numFmtId="168" fontId="18" fillId="0" borderId="15" xfId="0" applyNumberFormat="1" applyFont="1" applyBorder="1" applyAlignment="1">
      <alignment horizontal="left"/>
    </xf>
    <xf numFmtId="174" fontId="19" fillId="0" borderId="0" xfId="0" applyNumberFormat="1" applyFont="1"/>
    <xf numFmtId="174" fontId="18" fillId="0" borderId="0" xfId="0" applyNumberFormat="1" applyFont="1"/>
    <xf numFmtId="172" fontId="18" fillId="0" borderId="0" xfId="0" applyNumberFormat="1" applyFont="1"/>
    <xf numFmtId="172" fontId="19" fillId="0" borderId="0" xfId="0" applyNumberFormat="1" applyFont="1" applyAlignment="1">
      <alignment vertical="center"/>
    </xf>
    <xf numFmtId="172" fontId="17" fillId="0" borderId="0" xfId="0" applyNumberFormat="1" applyFont="1" applyAlignment="1">
      <alignment vertical="center"/>
    </xf>
    <xf numFmtId="37" fontId="19" fillId="0" borderId="0" xfId="0" applyNumberFormat="1" applyFont="1" applyAlignment="1">
      <alignment horizontal="left" vertical="center"/>
    </xf>
    <xf numFmtId="169" fontId="19" fillId="0" borderId="0" xfId="0" applyNumberFormat="1" applyFont="1" applyAlignment="1">
      <alignment horizontal="right" vertical="center"/>
    </xf>
    <xf numFmtId="174" fontId="19" fillId="0" borderId="0" xfId="0" applyNumberFormat="1" applyFont="1" applyAlignment="1">
      <alignment horizontal="right" vertical="center"/>
    </xf>
    <xf numFmtId="174" fontId="17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5" fillId="0" borderId="0" xfId="0" applyFont="1" applyAlignment="1">
      <alignment horizontal="right"/>
    </xf>
    <xf numFmtId="0" fontId="20" fillId="0" borderId="4" xfId="0" applyFont="1" applyBorder="1" applyAlignment="1">
      <alignment horizontal="left"/>
    </xf>
    <xf numFmtId="37" fontId="19" fillId="0" borderId="21" xfId="0" applyNumberFormat="1" applyFont="1" applyBorder="1" applyAlignment="1">
      <alignment horizontal="left" vertical="center"/>
    </xf>
    <xf numFmtId="169" fontId="19" fillId="0" borderId="21" xfId="0" applyNumberFormat="1" applyFont="1" applyBorder="1" applyAlignment="1">
      <alignment horizontal="right" vertical="center"/>
    </xf>
    <xf numFmtId="169" fontId="15" fillId="0" borderId="20" xfId="0" applyNumberFormat="1" applyFont="1" applyBorder="1" applyAlignment="1">
      <alignment horizontal="right"/>
    </xf>
    <xf numFmtId="169" fontId="19" fillId="0" borderId="0" xfId="0" applyNumberFormat="1" applyFont="1" applyAlignment="1">
      <alignment vertical="center"/>
    </xf>
    <xf numFmtId="169" fontId="19" fillId="0" borderId="4" xfId="0" applyNumberFormat="1" applyFont="1" applyBorder="1" applyAlignment="1">
      <alignment vertical="center"/>
    </xf>
    <xf numFmtId="169" fontId="17" fillId="0" borderId="0" xfId="0" applyNumberFormat="1" applyFont="1" applyAlignment="1">
      <alignment vertical="center"/>
    </xf>
    <xf numFmtId="0" fontId="29" fillId="0" borderId="0" xfId="0" applyFont="1"/>
    <xf numFmtId="0" fontId="14" fillId="0" borderId="0" xfId="0" applyFont="1" applyAlignment="1">
      <alignment horizontal="right" vertical="center"/>
    </xf>
    <xf numFmtId="37" fontId="32" fillId="0" borderId="0" xfId="0" applyNumberFormat="1" applyFont="1" applyAlignment="1">
      <alignment vertical="center"/>
    </xf>
    <xf numFmtId="167" fontId="33" fillId="0" borderId="0" xfId="0" applyNumberFormat="1" applyFont="1" applyAlignment="1">
      <alignment horizontal="right"/>
    </xf>
    <xf numFmtId="171" fontId="28" fillId="0" borderId="0" xfId="0" applyNumberFormat="1" applyFont="1"/>
    <xf numFmtId="168" fontId="15" fillId="0" borderId="3" xfId="0" applyNumberFormat="1" applyFont="1" applyBorder="1" applyAlignment="1">
      <alignment horizontal="right"/>
    </xf>
    <xf numFmtId="169" fontId="18" fillId="0" borderId="0" xfId="0" applyNumberFormat="1" applyFont="1" applyAlignment="1">
      <alignment horizontal="right"/>
    </xf>
    <xf numFmtId="171" fontId="20" fillId="0" borderId="0" xfId="0" applyNumberFormat="1" applyFont="1"/>
    <xf numFmtId="167" fontId="3" fillId="2" borderId="0" xfId="0" applyNumberFormat="1" applyFont="1" applyFill="1" applyAlignment="1">
      <alignment horizontal="right"/>
    </xf>
    <xf numFmtId="167" fontId="15" fillId="0" borderId="2" xfId="0" applyNumberFormat="1" applyFont="1" applyBorder="1" applyAlignment="1">
      <alignment horizontal="right"/>
    </xf>
    <xf numFmtId="0" fontId="17" fillId="0" borderId="0" xfId="0" applyFont="1" applyAlignment="1">
      <alignment horizontal="left" indent="1"/>
    </xf>
    <xf numFmtId="37" fontId="12" fillId="0" borderId="0" xfId="0" applyNumberFormat="1" applyFont="1" applyAlignment="1">
      <alignment vertical="center"/>
    </xf>
    <xf numFmtId="0" fontId="9" fillId="0" borderId="0" xfId="0" applyFont="1"/>
    <xf numFmtId="0" fontId="38" fillId="0" borderId="0" xfId="0" applyFont="1"/>
    <xf numFmtId="0" fontId="3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167" fontId="39" fillId="0" borderId="0" xfId="0" applyNumberFormat="1" applyFont="1" applyAlignment="1">
      <alignment horizontal="right" vertical="center"/>
    </xf>
    <xf numFmtId="182" fontId="24" fillId="0" borderId="0" xfId="0" applyNumberFormat="1" applyFont="1" applyAlignment="1">
      <alignment horizontal="right" vertical="center"/>
    </xf>
    <xf numFmtId="173" fontId="19" fillId="0" borderId="0" xfId="0" applyNumberFormat="1" applyFont="1" applyAlignment="1">
      <alignment vertical="center"/>
    </xf>
    <xf numFmtId="173" fontId="19" fillId="0" borderId="4" xfId="0" applyNumberFormat="1" applyFont="1" applyBorder="1" applyAlignment="1">
      <alignment vertical="center"/>
    </xf>
    <xf numFmtId="0" fontId="40" fillId="0" borderId="0" xfId="0" applyFont="1" applyAlignment="1">
      <alignment horizontal="right"/>
    </xf>
    <xf numFmtId="172" fontId="19" fillId="0" borderId="0" xfId="0" applyNumberFormat="1" applyFont="1"/>
    <xf numFmtId="172" fontId="19" fillId="0" borderId="4" xfId="0" applyNumberFormat="1" applyFont="1" applyBorder="1"/>
    <xf numFmtId="174" fontId="17" fillId="0" borderId="4" xfId="0" applyNumberFormat="1" applyFont="1" applyBorder="1"/>
    <xf numFmtId="169" fontId="17" fillId="0" borderId="19" xfId="0" applyNumberFormat="1" applyFont="1" applyBorder="1"/>
    <xf numFmtId="169" fontId="15" fillId="0" borderId="0" xfId="0" applyNumberFormat="1" applyFont="1" applyAlignment="1">
      <alignment horizontal="right"/>
    </xf>
    <xf numFmtId="169" fontId="19" fillId="0" borderId="0" xfId="0" applyNumberFormat="1" applyFont="1" applyAlignment="1">
      <alignment horizontal="right"/>
    </xf>
    <xf numFmtId="169" fontId="19" fillId="0" borderId="1" xfId="0" applyNumberFormat="1" applyFont="1" applyBorder="1" applyAlignment="1">
      <alignment horizontal="right"/>
    </xf>
    <xf numFmtId="169" fontId="18" fillId="0" borderId="1" xfId="0" applyNumberFormat="1" applyFont="1" applyBorder="1" applyAlignment="1">
      <alignment horizontal="right"/>
    </xf>
    <xf numFmtId="176" fontId="17" fillId="0" borderId="0" xfId="0" applyNumberFormat="1" applyFont="1"/>
    <xf numFmtId="171" fontId="19" fillId="0" borderId="13" xfId="0" applyNumberFormat="1" applyFont="1" applyBorder="1"/>
    <xf numFmtId="9" fontId="15" fillId="0" borderId="0" xfId="1" applyFont="1" applyBorder="1" applyAlignment="1">
      <alignment horizontal="right"/>
    </xf>
    <xf numFmtId="171" fontId="41" fillId="0" borderId="0" xfId="0" applyNumberFormat="1" applyFont="1" applyAlignment="1">
      <alignment horizontal="centerContinuous"/>
    </xf>
    <xf numFmtId="173" fontId="17" fillId="0" borderId="0" xfId="1" applyNumberFormat="1" applyFont="1" applyFill="1" applyBorder="1"/>
    <xf numFmtId="173" fontId="17" fillId="0" borderId="4" xfId="1" applyNumberFormat="1" applyFont="1" applyFill="1" applyBorder="1"/>
    <xf numFmtId="173" fontId="19" fillId="0" borderId="4" xfId="1" applyNumberFormat="1" applyFont="1" applyFill="1" applyBorder="1"/>
    <xf numFmtId="0" fontId="20" fillId="0" borderId="0" xfId="0" applyFont="1" applyAlignment="1">
      <alignment horizontal="center"/>
    </xf>
    <xf numFmtId="173" fontId="17" fillId="0" borderId="0" xfId="1" applyNumberFormat="1" applyFont="1" applyBorder="1" applyAlignment="1">
      <alignment vertical="center"/>
    </xf>
    <xf numFmtId="184" fontId="18" fillId="0" borderId="0" xfId="0" quotePrefix="1" applyNumberFormat="1" applyFont="1" applyAlignment="1">
      <alignment horizontal="right"/>
    </xf>
    <xf numFmtId="185" fontId="18" fillId="0" borderId="0" xfId="0" quotePrefix="1" applyNumberFormat="1" applyFont="1" applyAlignment="1">
      <alignment horizontal="right"/>
    </xf>
    <xf numFmtId="173" fontId="18" fillId="0" borderId="4" xfId="1" applyNumberFormat="1" applyFont="1" applyFill="1" applyBorder="1"/>
    <xf numFmtId="172" fontId="18" fillId="0" borderId="0" xfId="1" applyNumberFormat="1" applyFont="1" applyFill="1" applyBorder="1" applyAlignment="1">
      <alignment horizontal="right"/>
    </xf>
    <xf numFmtId="0" fontId="17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167" fontId="35" fillId="0" borderId="0" xfId="0" applyNumberFormat="1" applyFont="1" applyAlignment="1">
      <alignment horizontal="right"/>
    </xf>
    <xf numFmtId="169" fontId="17" fillId="0" borderId="10" xfId="0" applyNumberFormat="1" applyFont="1" applyBorder="1"/>
    <xf numFmtId="172" fontId="17" fillId="0" borderId="4" xfId="0" applyNumberFormat="1" applyFont="1" applyBorder="1"/>
    <xf numFmtId="37" fontId="30" fillId="0" borderId="10" xfId="0" applyNumberFormat="1" applyFont="1" applyBorder="1" applyAlignment="1">
      <alignment vertical="center"/>
    </xf>
    <xf numFmtId="0" fontId="17" fillId="0" borderId="9" xfId="0" applyFont="1" applyBorder="1" applyAlignment="1">
      <alignment horizontal="left"/>
    </xf>
    <xf numFmtId="0" fontId="9" fillId="0" borderId="0" xfId="0" applyFont="1" applyAlignment="1">
      <alignment horizontal="centerContinuous"/>
    </xf>
    <xf numFmtId="166" fontId="9" fillId="0" borderId="0" xfId="5" applyNumberFormat="1" applyFont="1" applyFill="1" applyProtection="1">
      <protection locked="0"/>
    </xf>
    <xf numFmtId="0" fontId="37" fillId="0" borderId="0" xfId="0" applyFont="1" applyAlignment="1">
      <alignment vertical="center"/>
    </xf>
    <xf numFmtId="186" fontId="22" fillId="0" borderId="0" xfId="0" applyNumberFormat="1" applyFont="1" applyAlignment="1">
      <alignment horizontal="left" indent="1"/>
    </xf>
    <xf numFmtId="0" fontId="9" fillId="0" borderId="4" xfId="0" applyFont="1" applyBorder="1"/>
    <xf numFmtId="172" fontId="17" fillId="0" borderId="0" xfId="1" applyNumberFormat="1" applyFont="1" applyFill="1" applyBorder="1" applyAlignment="1">
      <alignment horizontal="right"/>
    </xf>
    <xf numFmtId="167" fontId="15" fillId="0" borderId="23" xfId="0" applyNumberFormat="1" applyFont="1" applyBorder="1" applyAlignment="1">
      <alignment horizontal="right"/>
    </xf>
    <xf numFmtId="173" fontId="17" fillId="0" borderId="11" xfId="1" applyNumberFormat="1" applyFont="1" applyFill="1" applyBorder="1" applyAlignment="1"/>
    <xf numFmtId="167" fontId="18" fillId="0" borderId="0" xfId="0" applyNumberFormat="1" applyFont="1" applyAlignment="1">
      <alignment horizontal="right"/>
    </xf>
    <xf numFmtId="49" fontId="15" fillId="0" borderId="0" xfId="0" applyNumberFormat="1" applyFont="1" applyAlignment="1">
      <alignment horizontal="left"/>
    </xf>
    <xf numFmtId="166" fontId="37" fillId="0" borderId="0" xfId="5" applyNumberFormat="1" applyFont="1" applyAlignment="1" applyProtection="1">
      <alignment horizontal="center"/>
      <protection locked="0"/>
    </xf>
    <xf numFmtId="166" fontId="37" fillId="0" borderId="0" xfId="5" applyNumberFormat="1" applyFont="1" applyAlignment="1">
      <alignment horizontal="right"/>
    </xf>
    <xf numFmtId="0" fontId="37" fillId="0" borderId="20" xfId="0" applyFont="1" applyBorder="1" applyAlignment="1">
      <alignment vertical="center"/>
    </xf>
    <xf numFmtId="169" fontId="17" fillId="0" borderId="9" xfId="0" applyNumberFormat="1" applyFont="1" applyBorder="1"/>
    <xf numFmtId="169" fontId="17" fillId="0" borderId="0" xfId="0" applyNumberFormat="1" applyFont="1" applyAlignment="1">
      <alignment horizontal="right"/>
    </xf>
    <xf numFmtId="177" fontId="17" fillId="0" borderId="7" xfId="0" applyNumberFormat="1" applyFont="1" applyBorder="1" applyAlignment="1">
      <alignment horizontal="right"/>
    </xf>
    <xf numFmtId="177" fontId="17" fillId="0" borderId="8" xfId="0" applyNumberFormat="1" applyFont="1" applyBorder="1" applyAlignment="1">
      <alignment horizontal="right"/>
    </xf>
    <xf numFmtId="177" fontId="17" fillId="0" borderId="14" xfId="0" applyNumberFormat="1" applyFont="1" applyBorder="1" applyAlignment="1">
      <alignment horizontal="right"/>
    </xf>
    <xf numFmtId="177" fontId="17" fillId="0" borderId="4" xfId="0" applyNumberFormat="1" applyFont="1" applyBorder="1" applyAlignment="1">
      <alignment horizontal="right"/>
    </xf>
    <xf numFmtId="177" fontId="17" fillId="0" borderId="15" xfId="0" applyNumberFormat="1" applyFont="1" applyBorder="1" applyAlignment="1">
      <alignment horizontal="right"/>
    </xf>
    <xf numFmtId="178" fontId="15" fillId="0" borderId="0" xfId="0" applyNumberFormat="1" applyFont="1" applyAlignment="1">
      <alignment horizontal="right"/>
    </xf>
    <xf numFmtId="171" fontId="17" fillId="0" borderId="10" xfId="0" applyNumberFormat="1" applyFont="1" applyBorder="1" applyAlignment="1">
      <alignment horizontal="left"/>
    </xf>
    <xf numFmtId="171" fontId="17" fillId="0" borderId="11" xfId="0" applyNumberFormat="1" applyFont="1" applyBorder="1" applyAlignment="1">
      <alignment horizontal="left"/>
    </xf>
    <xf numFmtId="171" fontId="17" fillId="0" borderId="0" xfId="0" applyNumberFormat="1" applyFont="1" applyAlignment="1">
      <alignment horizontal="left"/>
    </xf>
    <xf numFmtId="171" fontId="17" fillId="0" borderId="13" xfId="0" applyNumberFormat="1" applyFont="1" applyBorder="1" applyAlignment="1">
      <alignment horizontal="left"/>
    </xf>
    <xf numFmtId="171" fontId="17" fillId="0" borderId="4" xfId="0" applyNumberFormat="1" applyFont="1" applyBorder="1" applyAlignment="1">
      <alignment horizontal="left"/>
    </xf>
    <xf numFmtId="171" fontId="17" fillId="0" borderId="15" xfId="0" applyNumberFormat="1" applyFont="1" applyBorder="1" applyAlignment="1">
      <alignment horizontal="left"/>
    </xf>
    <xf numFmtId="49" fontId="17" fillId="0" borderId="14" xfId="0" applyNumberFormat="1" applyFont="1" applyBorder="1" applyAlignment="1">
      <alignment horizontal="left"/>
    </xf>
    <xf numFmtId="169" fontId="17" fillId="0" borderId="11" xfId="0" applyNumberFormat="1" applyFont="1" applyBorder="1"/>
    <xf numFmtId="169" fontId="17" fillId="0" borderId="13" xfId="0" applyNumberFormat="1" applyFont="1" applyBorder="1"/>
    <xf numFmtId="169" fontId="17" fillId="0" borderId="15" xfId="0" applyNumberFormat="1" applyFont="1" applyBorder="1"/>
    <xf numFmtId="169" fontId="15" fillId="0" borderId="4" xfId="0" applyNumberFormat="1" applyFont="1" applyBorder="1" applyAlignment="1">
      <alignment horizontal="right"/>
    </xf>
    <xf numFmtId="169" fontId="20" fillId="0" borderId="4" xfId="0" applyNumberFormat="1" applyFont="1" applyBorder="1" applyAlignment="1">
      <alignment horizontal="right"/>
    </xf>
    <xf numFmtId="169" fontId="17" fillId="0" borderId="0" xfId="1" applyNumberFormat="1" applyFont="1"/>
    <xf numFmtId="172" fontId="18" fillId="0" borderId="15" xfId="1" applyNumberFormat="1" applyFont="1" applyFill="1" applyBorder="1"/>
    <xf numFmtId="169" fontId="17" fillId="0" borderId="4" xfId="0" applyNumberFormat="1" applyFont="1" applyBorder="1" applyAlignment="1">
      <alignment horizontal="right"/>
    </xf>
    <xf numFmtId="169" fontId="19" fillId="0" borderId="7" xfId="0" applyNumberFormat="1" applyFont="1" applyBorder="1"/>
    <xf numFmtId="169" fontId="18" fillId="0" borderId="15" xfId="0" applyNumberFormat="1" applyFont="1" applyBorder="1" applyAlignment="1">
      <alignment horizontal="right"/>
    </xf>
    <xf numFmtId="172" fontId="17" fillId="0" borderId="10" xfId="0" applyNumberFormat="1" applyFont="1" applyBorder="1"/>
    <xf numFmtId="169" fontId="18" fillId="0" borderId="7" xfId="0" applyNumberFormat="1" applyFont="1" applyBorder="1"/>
    <xf numFmtId="169" fontId="19" fillId="0" borderId="20" xfId="6" applyNumberFormat="1" applyFont="1" applyFill="1" applyBorder="1" applyAlignment="1">
      <alignment vertical="center"/>
    </xf>
    <xf numFmtId="169" fontId="19" fillId="0" borderId="0" xfId="6" applyNumberFormat="1" applyFont="1" applyFill="1" applyBorder="1" applyAlignment="1">
      <alignment vertical="center"/>
    </xf>
    <xf numFmtId="169" fontId="19" fillId="0" borderId="0" xfId="6" applyNumberFormat="1" applyFont="1"/>
    <xf numFmtId="169" fontId="20" fillId="0" borderId="0" xfId="0" applyNumberFormat="1" applyFont="1" applyAlignment="1">
      <alignment horizontal="right"/>
    </xf>
    <xf numFmtId="0" fontId="48" fillId="0" borderId="20" xfId="0" quotePrefix="1" applyFont="1" applyBorder="1" applyAlignment="1">
      <alignment horizontal="center" vertical="center"/>
    </xf>
    <xf numFmtId="0" fontId="48" fillId="0" borderId="0" xfId="0" quotePrefix="1" applyFont="1" applyAlignment="1">
      <alignment horizontal="center" vertical="center"/>
    </xf>
    <xf numFmtId="184" fontId="18" fillId="0" borderId="0" xfId="0" applyNumberFormat="1" applyFont="1" applyAlignment="1">
      <alignment horizontal="left"/>
    </xf>
    <xf numFmtId="0" fontId="36" fillId="0" borderId="0" xfId="0" applyFont="1"/>
    <xf numFmtId="169" fontId="19" fillId="0" borderId="4" xfId="0" applyNumberFormat="1" applyFont="1" applyBorder="1" applyAlignment="1">
      <alignment horizontal="right"/>
    </xf>
    <xf numFmtId="0" fontId="34" fillId="0" borderId="20" xfId="0" applyFont="1" applyBorder="1" applyAlignment="1">
      <alignment horizontal="center"/>
    </xf>
    <xf numFmtId="0" fontId="34" fillId="0" borderId="26" xfId="0" applyFont="1" applyBorder="1" applyAlignment="1">
      <alignment horizontal="center"/>
    </xf>
    <xf numFmtId="179" fontId="17" fillId="0" borderId="27" xfId="0" applyNumberFormat="1" applyFont="1" applyBorder="1" applyAlignment="1">
      <alignment horizontal="center"/>
    </xf>
    <xf numFmtId="170" fontId="31" fillId="0" borderId="27" xfId="0" applyNumberFormat="1" applyFont="1" applyBorder="1"/>
    <xf numFmtId="169" fontId="50" fillId="0" borderId="0" xfId="0" applyNumberFormat="1" applyFont="1" applyAlignment="1">
      <alignment horizontal="left"/>
    </xf>
    <xf numFmtId="169" fontId="50" fillId="0" borderId="26" xfId="0" applyNumberFormat="1" applyFont="1" applyBorder="1" applyAlignment="1">
      <alignment horizontal="center"/>
    </xf>
    <xf numFmtId="169" fontId="50" fillId="0" borderId="26" xfId="0" applyNumberFormat="1" applyFont="1" applyBorder="1" applyAlignment="1">
      <alignment horizontal="centerContinuous"/>
    </xf>
    <xf numFmtId="167" fontId="50" fillId="0" borderId="20" xfId="0" applyNumberFormat="1" applyFont="1" applyBorder="1" applyAlignment="1">
      <alignment horizontal="centerContinuous"/>
    </xf>
    <xf numFmtId="0" fontId="9" fillId="0" borderId="20" xfId="0" applyFont="1" applyBorder="1"/>
    <xf numFmtId="0" fontId="51" fillId="0" borderId="0" xfId="0" applyFont="1"/>
    <xf numFmtId="174" fontId="19" fillId="0" borderId="0" xfId="6" applyNumberFormat="1" applyFont="1" applyFill="1" applyBorder="1" applyAlignment="1">
      <alignment vertical="center"/>
    </xf>
    <xf numFmtId="174" fontId="18" fillId="0" borderId="11" xfId="1" applyNumberFormat="1" applyFont="1" applyFill="1" applyBorder="1" applyAlignment="1">
      <alignment horizontal="right"/>
    </xf>
    <xf numFmtId="177" fontId="19" fillId="0" borderId="0" xfId="1" applyNumberFormat="1" applyFont="1" applyFill="1" applyBorder="1" applyAlignment="1">
      <alignment vertical="center"/>
    </xf>
    <xf numFmtId="174" fontId="18" fillId="0" borderId="11" xfId="1" applyNumberFormat="1" applyFont="1" applyBorder="1" applyAlignment="1">
      <alignment horizontal="right"/>
    </xf>
    <xf numFmtId="177" fontId="18" fillId="0" borderId="15" xfId="0" applyNumberFormat="1" applyFont="1" applyBorder="1" applyAlignment="1">
      <alignment horizontal="right"/>
    </xf>
    <xf numFmtId="0" fontId="36" fillId="0" borderId="21" xfId="0" applyFont="1" applyBorder="1"/>
    <xf numFmtId="0" fontId="9" fillId="0" borderId="21" xfId="0" applyFont="1" applyBorder="1"/>
    <xf numFmtId="37" fontId="43" fillId="0" borderId="0" xfId="0" applyNumberFormat="1" applyFont="1" applyAlignment="1">
      <alignment vertical="center"/>
    </xf>
    <xf numFmtId="37" fontId="11" fillId="0" borderId="23" xfId="0" applyNumberFormat="1" applyFont="1" applyBorder="1" applyAlignment="1">
      <alignment vertical="center"/>
    </xf>
    <xf numFmtId="37" fontId="11" fillId="0" borderId="0" xfId="0" applyNumberFormat="1" applyFont="1" applyAlignment="1">
      <alignment horizontal="centerContinuous" vertical="center"/>
    </xf>
    <xf numFmtId="37" fontId="11" fillId="0" borderId="10" xfId="0" applyNumberFormat="1" applyFont="1" applyBorder="1" applyAlignment="1">
      <alignment vertical="center"/>
    </xf>
    <xf numFmtId="37" fontId="43" fillId="0" borderId="4" xfId="0" applyNumberFormat="1" applyFont="1" applyBorder="1" applyAlignment="1">
      <alignment vertical="center"/>
    </xf>
    <xf numFmtId="37" fontId="11" fillId="0" borderId="4" xfId="0" applyNumberFormat="1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0" xfId="0" applyFont="1" applyAlignment="1">
      <alignment vertical="center"/>
    </xf>
    <xf numFmtId="166" fontId="37" fillId="0" borderId="0" xfId="5" applyNumberFormat="1" applyFont="1" applyAlignment="1" applyProtection="1">
      <alignment vertical="center"/>
      <protection locked="0"/>
    </xf>
    <xf numFmtId="0" fontId="48" fillId="0" borderId="0" xfId="0" applyFont="1" applyAlignment="1">
      <alignment horizontal="center" vertical="center"/>
    </xf>
    <xf numFmtId="166" fontId="37" fillId="0" borderId="0" xfId="5" applyNumberFormat="1" applyFont="1" applyBorder="1" applyAlignment="1" applyProtection="1">
      <alignment vertical="center"/>
      <protection locked="0"/>
    </xf>
    <xf numFmtId="0" fontId="17" fillId="0" borderId="21" xfId="0" applyFont="1" applyBorder="1" applyAlignment="1">
      <alignment horizontal="left" vertical="center"/>
    </xf>
    <xf numFmtId="166" fontId="28" fillId="0" borderId="0" xfId="5" applyNumberFormat="1" applyFont="1" applyFill="1" applyBorder="1" applyAlignment="1">
      <alignment horizontal="right" vertical="center"/>
    </xf>
    <xf numFmtId="0" fontId="51" fillId="0" borderId="0" xfId="0" applyFont="1" applyAlignment="1">
      <alignment vertical="center"/>
    </xf>
    <xf numFmtId="166" fontId="47" fillId="0" borderId="0" xfId="5" applyNumberFormat="1" applyFont="1" applyFill="1" applyBorder="1" applyAlignment="1" applyProtection="1">
      <alignment vertical="center"/>
      <protection locked="0"/>
    </xf>
    <xf numFmtId="172" fontId="19" fillId="0" borderId="0" xfId="1" applyNumberFormat="1" applyFont="1" applyFill="1" applyBorder="1" applyAlignment="1">
      <alignment horizontal="right" vertical="center"/>
    </xf>
    <xf numFmtId="169" fontId="50" fillId="0" borderId="28" xfId="0" applyNumberFormat="1" applyFont="1" applyBorder="1" applyAlignment="1">
      <alignment horizontal="center"/>
    </xf>
    <xf numFmtId="0" fontId="34" fillId="0" borderId="28" xfId="0" applyFont="1" applyBorder="1" applyAlignment="1">
      <alignment horizontal="center"/>
    </xf>
    <xf numFmtId="0" fontId="46" fillId="0" borderId="0" xfId="0" applyFont="1" applyAlignment="1">
      <alignment horizontal="right" vertical="center"/>
    </xf>
    <xf numFmtId="165" fontId="29" fillId="0" borderId="0" xfId="0" applyNumberFormat="1" applyFont="1" applyAlignment="1">
      <alignment horizontal="left" vertical="center"/>
    </xf>
    <xf numFmtId="166" fontId="9" fillId="0" borderId="0" xfId="5" applyNumberFormat="1" applyFont="1" applyFill="1" applyBorder="1" applyProtection="1">
      <protection locked="0"/>
    </xf>
    <xf numFmtId="169" fontId="15" fillId="0" borderId="20" xfId="0" applyNumberFormat="1" applyFont="1" applyBorder="1" applyAlignment="1">
      <alignment horizontal="center"/>
    </xf>
    <xf numFmtId="174" fontId="17" fillId="0" borderId="0" xfId="0" applyNumberFormat="1" applyFont="1" applyAlignment="1">
      <alignment horizontal="center" vertical="center"/>
    </xf>
    <xf numFmtId="167" fontId="15" fillId="0" borderId="20" xfId="0" applyNumberFormat="1" applyFont="1" applyBorder="1" applyAlignment="1">
      <alignment horizontal="left"/>
    </xf>
    <xf numFmtId="167" fontId="15" fillId="0" borderId="21" xfId="0" applyNumberFormat="1" applyFont="1" applyBorder="1" applyAlignment="1">
      <alignment horizontal="left"/>
    </xf>
    <xf numFmtId="0" fontId="20" fillId="0" borderId="24" xfId="0" applyFont="1" applyBorder="1" applyAlignment="1">
      <alignment horizontal="left"/>
    </xf>
    <xf numFmtId="169" fontId="20" fillId="0" borderId="24" xfId="0" applyNumberFormat="1" applyFont="1" applyBorder="1" applyAlignment="1">
      <alignment horizontal="right"/>
    </xf>
    <xf numFmtId="0" fontId="36" fillId="0" borderId="0" xfId="0" applyFont="1" applyAlignment="1">
      <alignment horizontal="center"/>
    </xf>
    <xf numFmtId="188" fontId="20" fillId="0" borderId="24" xfId="0" applyNumberFormat="1" applyFont="1" applyBorder="1" applyAlignment="1">
      <alignment horizontal="right"/>
    </xf>
    <xf numFmtId="189" fontId="20" fillId="0" borderId="24" xfId="0" applyNumberFormat="1" applyFont="1" applyBorder="1" applyAlignment="1">
      <alignment horizontal="center"/>
    </xf>
    <xf numFmtId="169" fontId="20" fillId="0" borderId="20" xfId="0" applyNumberFormat="1" applyFont="1" applyBorder="1" applyAlignment="1">
      <alignment horizontal="center"/>
    </xf>
    <xf numFmtId="169" fontId="20" fillId="0" borderId="0" xfId="0" applyNumberFormat="1" applyFont="1" applyAlignment="1">
      <alignment horizontal="center"/>
    </xf>
    <xf numFmtId="169" fontId="20" fillId="0" borderId="24" xfId="0" applyNumberFormat="1" applyFont="1" applyBorder="1" applyAlignment="1">
      <alignment horizontal="center"/>
    </xf>
    <xf numFmtId="180" fontId="17" fillId="0" borderId="0" xfId="0" applyNumberFormat="1" applyFont="1" applyAlignment="1">
      <alignment horizontal="center" vertical="center"/>
    </xf>
    <xf numFmtId="169" fontId="18" fillId="0" borderId="11" xfId="0" applyNumberFormat="1" applyFont="1" applyBorder="1"/>
    <xf numFmtId="173" fontId="17" fillId="0" borderId="15" xfId="1" applyNumberFormat="1" applyFont="1" applyFill="1" applyBorder="1" applyAlignment="1"/>
    <xf numFmtId="37" fontId="43" fillId="0" borderId="10" xfId="0" applyNumberFormat="1" applyFont="1" applyBorder="1" applyAlignment="1">
      <alignment vertical="center"/>
    </xf>
    <xf numFmtId="177" fontId="18" fillId="0" borderId="11" xfId="0" applyNumberFormat="1" applyFont="1" applyBorder="1" applyAlignment="1">
      <alignment horizontal="right"/>
    </xf>
    <xf numFmtId="169" fontId="20" fillId="0" borderId="0" xfId="0" applyNumberFormat="1" applyFont="1"/>
    <xf numFmtId="184" fontId="42" fillId="0" borderId="0" xfId="0" quotePrefix="1" applyNumberFormat="1" applyFont="1" applyAlignment="1">
      <alignment horizontal="right"/>
    </xf>
    <xf numFmtId="185" fontId="42" fillId="0" borderId="0" xfId="0" quotePrefix="1" applyNumberFormat="1" applyFont="1" applyAlignment="1">
      <alignment horizontal="right"/>
    </xf>
    <xf numFmtId="187" fontId="17" fillId="0" borderId="31" xfId="0" applyNumberFormat="1" applyFont="1" applyBorder="1" applyAlignment="1">
      <alignment horizontal="right"/>
    </xf>
    <xf numFmtId="171" fontId="28" fillId="0" borderId="23" xfId="0" applyNumberFormat="1" applyFont="1" applyBorder="1"/>
    <xf numFmtId="187" fontId="17" fillId="0" borderId="23" xfId="0" applyNumberFormat="1" applyFont="1" applyBorder="1" applyAlignment="1">
      <alignment horizontal="right"/>
    </xf>
    <xf numFmtId="187" fontId="17" fillId="0" borderId="25" xfId="0" applyNumberFormat="1" applyFont="1" applyBorder="1"/>
    <xf numFmtId="187" fontId="17" fillId="0" borderId="15" xfId="0" applyNumberFormat="1" applyFont="1" applyBorder="1" applyAlignment="1">
      <alignment horizontal="right"/>
    </xf>
    <xf numFmtId="49" fontId="20" fillId="0" borderId="0" xfId="0" applyNumberFormat="1" applyFont="1" applyAlignment="1">
      <alignment horizontal="left"/>
    </xf>
    <xf numFmtId="49" fontId="18" fillId="0" borderId="0" xfId="0" applyNumberFormat="1" applyFont="1" applyAlignment="1">
      <alignment horizontal="left"/>
    </xf>
    <xf numFmtId="169" fontId="17" fillId="0" borderId="6" xfId="0" applyNumberFormat="1" applyFont="1" applyBorder="1"/>
    <xf numFmtId="181" fontId="18" fillId="0" borderId="11" xfId="6" applyNumberFormat="1" applyFont="1" applyFill="1" applyBorder="1" applyAlignment="1">
      <alignment horizontal="right"/>
    </xf>
    <xf numFmtId="193" fontId="56" fillId="0" borderId="0" xfId="1" applyNumberFormat="1" applyFont="1" applyFill="1" applyBorder="1" applyAlignment="1">
      <alignment horizontal="right"/>
    </xf>
    <xf numFmtId="183" fontId="17" fillId="0" borderId="0" xfId="0" applyNumberFormat="1" applyFont="1"/>
    <xf numFmtId="172" fontId="17" fillId="0" borderId="15" xfId="1" applyNumberFormat="1" applyFont="1" applyFill="1" applyBorder="1" applyAlignment="1">
      <alignment horizontal="right"/>
    </xf>
    <xf numFmtId="194" fontId="19" fillId="0" borderId="0" xfId="6" applyNumberFormat="1" applyFont="1" applyFill="1" applyBorder="1" applyAlignment="1">
      <alignment vertical="center"/>
    </xf>
    <xf numFmtId="169" fontId="44" fillId="0" borderId="0" xfId="0" applyNumberFormat="1" applyFont="1"/>
    <xf numFmtId="0" fontId="28" fillId="0" borderId="0" xfId="0" applyFont="1" applyAlignment="1">
      <alignment horizontal="left"/>
    </xf>
    <xf numFmtId="0" fontId="20" fillId="0" borderId="0" xfId="0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49" fontId="18" fillId="0" borderId="0" xfId="0" applyNumberFormat="1" applyFont="1" applyAlignment="1">
      <alignment horizontal="left" indent="1"/>
    </xf>
    <xf numFmtId="0" fontId="21" fillId="0" borderId="0" xfId="0" applyFont="1" applyAlignment="1">
      <alignment horizontal="left" indent="1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left" indent="2"/>
    </xf>
    <xf numFmtId="0" fontId="28" fillId="0" borderId="0" xfId="0" applyFont="1" applyAlignment="1">
      <alignment horizontal="left" indent="1"/>
    </xf>
    <xf numFmtId="184" fontId="55" fillId="0" borderId="0" xfId="0" applyNumberFormat="1" applyFont="1" applyAlignment="1">
      <alignment horizontal="left" indent="1"/>
    </xf>
    <xf numFmtId="185" fontId="55" fillId="0" borderId="0" xfId="0" applyNumberFormat="1" applyFont="1" applyAlignment="1">
      <alignment horizontal="left" indent="1"/>
    </xf>
    <xf numFmtId="190" fontId="55" fillId="0" borderId="0" xfId="0" applyNumberFormat="1" applyFont="1" applyAlignment="1">
      <alignment horizontal="left" indent="1"/>
    </xf>
    <xf numFmtId="191" fontId="55" fillId="0" borderId="0" xfId="0" applyNumberFormat="1" applyFont="1" applyAlignment="1">
      <alignment horizontal="left" indent="1"/>
    </xf>
    <xf numFmtId="49" fontId="17" fillId="0" borderId="0" xfId="0" applyNumberFormat="1" applyFont="1" applyAlignment="1">
      <alignment horizontal="left" indent="1"/>
    </xf>
    <xf numFmtId="195" fontId="57" fillId="0" borderId="0" xfId="5" applyNumberFormat="1" applyFont="1" applyAlignment="1" applyProtection="1">
      <alignment horizontal="center"/>
      <protection locked="0"/>
    </xf>
    <xf numFmtId="166" fontId="58" fillId="0" borderId="0" xfId="5" applyNumberFormat="1" applyFont="1" applyAlignment="1" applyProtection="1">
      <alignment horizontal="center"/>
      <protection locked="0"/>
    </xf>
    <xf numFmtId="166" fontId="58" fillId="0" borderId="0" xfId="5" applyNumberFormat="1" applyFont="1" applyAlignment="1" applyProtection="1">
      <protection locked="0"/>
    </xf>
    <xf numFmtId="166" fontId="57" fillId="0" borderId="0" xfId="5" applyNumberFormat="1" applyFont="1" applyProtection="1">
      <protection locked="0"/>
    </xf>
    <xf numFmtId="172" fontId="17" fillId="0" borderId="0" xfId="6" applyNumberFormat="1" applyFont="1" applyFill="1" applyBorder="1" applyAlignment="1">
      <alignment horizontal="right"/>
    </xf>
    <xf numFmtId="0" fontId="51" fillId="0" borderId="0" xfId="0" applyFont="1" applyAlignment="1">
      <alignment horizontal="center"/>
    </xf>
    <xf numFmtId="0" fontId="51" fillId="0" borderId="10" xfId="0" applyFont="1" applyBorder="1"/>
    <xf numFmtId="0" fontId="51" fillId="0" borderId="12" xfId="0" applyFont="1" applyBorder="1"/>
    <xf numFmtId="0" fontId="49" fillId="0" borderId="0" xfId="0" quotePrefix="1" applyFont="1" applyAlignment="1">
      <alignment horizontal="right"/>
    </xf>
    <xf numFmtId="0" fontId="49" fillId="0" borderId="0" xfId="0" applyFont="1" applyAlignment="1">
      <alignment horizontal="right"/>
    </xf>
    <xf numFmtId="167" fontId="20" fillId="0" borderId="0" xfId="0" applyNumberFormat="1" applyFont="1" applyAlignment="1">
      <alignment horizontal="right"/>
    </xf>
    <xf numFmtId="168" fontId="20" fillId="0" borderId="0" xfId="0" applyNumberFormat="1" applyFont="1" applyAlignment="1">
      <alignment horizontal="right"/>
    </xf>
    <xf numFmtId="184" fontId="55" fillId="0" borderId="0" xfId="0" quotePrefix="1" applyNumberFormat="1" applyFont="1" applyAlignment="1">
      <alignment horizontal="right"/>
    </xf>
    <xf numFmtId="0" fontId="51" fillId="0" borderId="4" xfId="0" applyFont="1" applyBorder="1"/>
    <xf numFmtId="0" fontId="17" fillId="0" borderId="9" xfId="0" applyFont="1" applyBorder="1" applyAlignment="1">
      <alignment horizontal="left" indent="1"/>
    </xf>
    <xf numFmtId="0" fontId="17" fillId="0" borderId="14" xfId="0" applyFont="1" applyBorder="1" applyAlignment="1">
      <alignment horizontal="left" indent="1"/>
    </xf>
    <xf numFmtId="0" fontId="17" fillId="0" borderId="12" xfId="0" applyFont="1" applyBorder="1" applyAlignment="1">
      <alignment horizontal="left" indent="1"/>
    </xf>
    <xf numFmtId="0" fontId="1" fillId="0" borderId="0" xfId="0" applyFont="1" applyAlignment="1">
      <alignment vertical="center"/>
    </xf>
    <xf numFmtId="197" fontId="19" fillId="0" borderId="20" xfId="0" applyNumberFormat="1" applyFont="1" applyBorder="1" applyAlignment="1">
      <alignment horizontal="right" vertical="center"/>
    </xf>
    <xf numFmtId="197" fontId="19" fillId="0" borderId="0" xfId="0" applyNumberFormat="1" applyFont="1" applyAlignment="1">
      <alignment horizontal="right" vertical="center"/>
    </xf>
    <xf numFmtId="0" fontId="59" fillId="0" borderId="0" xfId="0" applyFont="1"/>
    <xf numFmtId="0" fontId="1" fillId="0" borderId="9" xfId="0" applyFont="1" applyBorder="1" applyAlignment="1">
      <alignment vertical="center"/>
    </xf>
    <xf numFmtId="0" fontId="45" fillId="0" borderId="0" xfId="0" applyFont="1"/>
    <xf numFmtId="172" fontId="1" fillId="0" borderId="11" xfId="1" applyNumberFormat="1" applyFont="1" applyFill="1" applyBorder="1" applyAlignment="1">
      <alignment horizontal="right"/>
    </xf>
    <xf numFmtId="0" fontId="1" fillId="0" borderId="0" xfId="0" applyFont="1" applyAlignment="1">
      <alignment horizontal="left" vertical="center" indent="2"/>
    </xf>
    <xf numFmtId="0" fontId="1" fillId="0" borderId="4" xfId="0" applyFont="1" applyBorder="1" applyAlignment="1">
      <alignment vertical="center"/>
    </xf>
    <xf numFmtId="0" fontId="9" fillId="0" borderId="0" xfId="0" applyFont="1" applyAlignment="1">
      <alignment horizontal="right"/>
    </xf>
    <xf numFmtId="0" fontId="16" fillId="0" borderId="4" xfId="0" applyFont="1" applyBorder="1"/>
    <xf numFmtId="0" fontId="10" fillId="0" borderId="0" xfId="0" applyFont="1"/>
    <xf numFmtId="0" fontId="1" fillId="0" borderId="0" xfId="0" applyFont="1"/>
    <xf numFmtId="49" fontId="1" fillId="0" borderId="20" xfId="0" applyNumberFormat="1" applyFont="1" applyBorder="1" applyAlignment="1">
      <alignment vertical="center"/>
    </xf>
    <xf numFmtId="0" fontId="1" fillId="0" borderId="20" xfId="0" applyFont="1" applyBorder="1" applyAlignment="1">
      <alignment vertical="center"/>
    </xf>
    <xf numFmtId="0" fontId="1" fillId="0" borderId="20" xfId="0" applyFont="1" applyBorder="1"/>
    <xf numFmtId="49" fontId="1" fillId="0" borderId="0" xfId="0" applyNumberFormat="1" applyFont="1" applyAlignment="1">
      <alignment vertical="center"/>
    </xf>
    <xf numFmtId="166" fontId="1" fillId="0" borderId="0" xfId="5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horizontal="left"/>
    </xf>
    <xf numFmtId="169" fontId="36" fillId="0" borderId="2" xfId="0" applyNumberFormat="1" applyFont="1" applyBorder="1" applyAlignment="1">
      <alignment horizontal="right" vertical="center"/>
    </xf>
    <xf numFmtId="172" fontId="19" fillId="0" borderId="4" xfId="0" applyNumberFormat="1" applyFont="1" applyBorder="1" applyAlignment="1">
      <alignment vertical="center"/>
    </xf>
    <xf numFmtId="183" fontId="17" fillId="0" borderId="14" xfId="0" applyNumberFormat="1" applyFont="1" applyBorder="1"/>
    <xf numFmtId="183" fontId="17" fillId="0" borderId="4" xfId="0" applyNumberFormat="1" applyFont="1" applyBorder="1"/>
    <xf numFmtId="183" fontId="17" fillId="0" borderId="15" xfId="0" applyNumberFormat="1" applyFont="1" applyBorder="1"/>
    <xf numFmtId="172" fontId="17" fillId="0" borderId="10" xfId="0" applyNumberFormat="1" applyFont="1" applyBorder="1" applyAlignment="1">
      <alignment horizontal="right"/>
    </xf>
    <xf numFmtId="172" fontId="17" fillId="0" borderId="11" xfId="0" applyNumberFormat="1" applyFont="1" applyBorder="1" applyAlignment="1">
      <alignment horizontal="right"/>
    </xf>
    <xf numFmtId="172" fontId="17" fillId="0" borderId="13" xfId="0" applyNumberFormat="1" applyFont="1" applyBorder="1" applyAlignment="1">
      <alignment horizontal="right"/>
    </xf>
    <xf numFmtId="172" fontId="17" fillId="0" borderId="15" xfId="0" applyNumberFormat="1" applyFont="1" applyBorder="1" applyAlignment="1">
      <alignment horizontal="right"/>
    </xf>
    <xf numFmtId="169" fontId="17" fillId="0" borderId="10" xfId="0" applyNumberFormat="1" applyFont="1" applyBorder="1" applyAlignment="1">
      <alignment horizontal="right"/>
    </xf>
    <xf numFmtId="169" fontId="17" fillId="0" borderId="11" xfId="0" applyNumberFormat="1" applyFont="1" applyBorder="1" applyAlignment="1">
      <alignment horizontal="right"/>
    </xf>
    <xf numFmtId="169" fontId="17" fillId="0" borderId="13" xfId="0" applyNumberFormat="1" applyFont="1" applyBorder="1" applyAlignment="1">
      <alignment horizontal="right"/>
    </xf>
    <xf numFmtId="169" fontId="17" fillId="0" borderId="15" xfId="0" applyNumberFormat="1" applyFont="1" applyBorder="1" applyAlignment="1">
      <alignment horizontal="right"/>
    </xf>
    <xf numFmtId="0" fontId="17" fillId="0" borderId="12" xfId="0" applyFont="1" applyBorder="1" applyAlignment="1">
      <alignment horizontal="left"/>
    </xf>
    <xf numFmtId="196" fontId="17" fillId="0" borderId="0" xfId="0" applyNumberFormat="1" applyFont="1" applyAlignment="1">
      <alignment horizontal="right" vertical="center"/>
    </xf>
    <xf numFmtId="192" fontId="17" fillId="0" borderId="0" xfId="2" applyNumberFormat="1" applyFont="1" applyFill="1" applyBorder="1" applyAlignment="1" applyProtection="1">
      <alignment horizontal="right" vertical="center"/>
      <protection locked="0"/>
    </xf>
    <xf numFmtId="172" fontId="17" fillId="0" borderId="20" xfId="0" applyNumberFormat="1" applyFont="1" applyBorder="1" applyAlignment="1">
      <alignment horizontal="center" vertical="center"/>
    </xf>
    <xf numFmtId="172" fontId="17" fillId="0" borderId="20" xfId="1" applyNumberFormat="1" applyFont="1" applyFill="1" applyBorder="1" applyAlignment="1">
      <alignment horizontal="center" vertical="center"/>
    </xf>
    <xf numFmtId="174" fontId="17" fillId="0" borderId="20" xfId="0" applyNumberFormat="1" applyFont="1" applyBorder="1" applyAlignment="1">
      <alignment horizontal="center" vertical="center"/>
    </xf>
    <xf numFmtId="172" fontId="17" fillId="0" borderId="21" xfId="0" applyNumberFormat="1" applyFont="1" applyBorder="1" applyAlignment="1">
      <alignment horizontal="center" vertical="center"/>
    </xf>
    <xf numFmtId="172" fontId="17" fillId="0" borderId="21" xfId="1" applyNumberFormat="1" applyFont="1" applyFill="1" applyBorder="1" applyAlignment="1">
      <alignment horizontal="center" vertical="center"/>
    </xf>
    <xf numFmtId="174" fontId="17" fillId="0" borderId="21" xfId="0" applyNumberFormat="1" applyFont="1" applyBorder="1" applyAlignment="1">
      <alignment horizontal="center" vertical="center"/>
    </xf>
    <xf numFmtId="172" fontId="17" fillId="0" borderId="7" xfId="0" applyNumberFormat="1" applyFont="1" applyBorder="1"/>
    <xf numFmtId="177" fontId="28" fillId="0" borderId="10" xfId="0" applyNumberFormat="1" applyFont="1" applyBorder="1" applyAlignment="1">
      <alignment horizontal="right"/>
    </xf>
    <xf numFmtId="198" fontId="15" fillId="0" borderId="0" xfId="0" applyNumberFormat="1" applyFont="1" applyAlignment="1">
      <alignment horizontal="right"/>
    </xf>
    <xf numFmtId="198" fontId="15" fillId="0" borderId="4" xfId="0" applyNumberFormat="1" applyFont="1" applyBorder="1" applyAlignment="1">
      <alignment horizontal="right"/>
    </xf>
    <xf numFmtId="169" fontId="17" fillId="0" borderId="22" xfId="0" applyNumberFormat="1" applyFont="1" applyBorder="1" applyAlignment="1">
      <alignment vertical="center"/>
    </xf>
    <xf numFmtId="169" fontId="17" fillId="0" borderId="5" xfId="0" applyNumberFormat="1" applyFont="1" applyBorder="1" applyAlignment="1">
      <alignment vertical="center"/>
    </xf>
    <xf numFmtId="169" fontId="15" fillId="0" borderId="5" xfId="0" applyNumberFormat="1" applyFont="1" applyBorder="1" applyAlignment="1">
      <alignment horizontal="right" vertical="center"/>
    </xf>
    <xf numFmtId="169" fontId="20" fillId="0" borderId="5" xfId="0" applyNumberFormat="1" applyFont="1" applyBorder="1" applyAlignment="1">
      <alignment vertical="center"/>
    </xf>
    <xf numFmtId="171" fontId="19" fillId="0" borderId="0" xfId="0" applyNumberFormat="1" applyFont="1" applyAlignment="1">
      <alignment horizontal="center"/>
    </xf>
    <xf numFmtId="0" fontId="16" fillId="0" borderId="21" xfId="0" applyFont="1" applyBorder="1"/>
    <xf numFmtId="172" fontId="17" fillId="0" borderId="3" xfId="0" applyNumberFormat="1" applyFont="1" applyBorder="1" applyAlignment="1">
      <alignment vertical="center"/>
    </xf>
    <xf numFmtId="174" fontId="17" fillId="0" borderId="4" xfId="0" applyNumberFormat="1" applyFont="1" applyBorder="1" applyAlignment="1">
      <alignment horizontal="right" vertical="center"/>
    </xf>
    <xf numFmtId="172" fontId="17" fillId="0" borderId="4" xfId="0" applyNumberFormat="1" applyFont="1" applyBorder="1" applyAlignment="1">
      <alignment vertical="center"/>
    </xf>
    <xf numFmtId="173" fontId="28" fillId="0" borderId="0" xfId="1" applyNumberFormat="1" applyFont="1" applyFill="1" applyBorder="1" applyAlignment="1">
      <alignment vertical="center"/>
    </xf>
    <xf numFmtId="172" fontId="19" fillId="0" borderId="0" xfId="0" applyNumberFormat="1" applyFont="1" applyAlignment="1">
      <alignment horizontal="center" vertical="center"/>
    </xf>
    <xf numFmtId="173" fontId="17" fillId="0" borderId="0" xfId="1" applyNumberFormat="1" applyFont="1" applyFill="1" applyBorder="1" applyAlignment="1">
      <alignment horizontal="center" vertical="center"/>
    </xf>
    <xf numFmtId="174" fontId="19" fillId="0" borderId="0" xfId="0" applyNumberFormat="1" applyFont="1" applyAlignment="1">
      <alignment horizontal="center" vertical="center"/>
    </xf>
    <xf numFmtId="172" fontId="19" fillId="0" borderId="21" xfId="0" applyNumberFormat="1" applyFont="1" applyBorder="1" applyAlignment="1">
      <alignment horizontal="center" vertical="center"/>
    </xf>
    <xf numFmtId="173" fontId="17" fillId="0" borderId="21" xfId="1" applyNumberFormat="1" applyFont="1" applyFill="1" applyBorder="1" applyAlignment="1">
      <alignment horizontal="center" vertical="center"/>
    </xf>
    <xf numFmtId="174" fontId="19" fillId="0" borderId="21" xfId="0" applyNumberFormat="1" applyFont="1" applyBorder="1" applyAlignment="1">
      <alignment horizontal="center" vertical="center"/>
    </xf>
    <xf numFmtId="172" fontId="20" fillId="0" borderId="16" xfId="1" applyNumberFormat="1" applyFont="1" applyFill="1" applyBorder="1" applyAlignment="1">
      <alignment vertical="center"/>
    </xf>
    <xf numFmtId="172" fontId="20" fillId="0" borderId="18" xfId="1" applyNumberFormat="1" applyFont="1" applyFill="1" applyBorder="1" applyAlignment="1">
      <alignment vertical="center"/>
    </xf>
    <xf numFmtId="172" fontId="20" fillId="0" borderId="17" xfId="1" applyNumberFormat="1" applyFont="1" applyFill="1" applyBorder="1" applyAlignment="1">
      <alignment vertical="center"/>
    </xf>
    <xf numFmtId="173" fontId="1" fillId="0" borderId="0" xfId="0" applyNumberFormat="1" applyFont="1" applyAlignment="1">
      <alignment vertical="center"/>
    </xf>
    <xf numFmtId="173" fontId="37" fillId="0" borderId="0" xfId="0" applyNumberFormat="1" applyFont="1" applyAlignment="1">
      <alignment horizontal="right" vertical="center"/>
    </xf>
    <xf numFmtId="173" fontId="24" fillId="0" borderId="0" xfId="0" applyNumberFormat="1" applyFont="1" applyAlignment="1">
      <alignment horizontal="right" vertical="center"/>
    </xf>
    <xf numFmtId="173" fontId="38" fillId="0" borderId="0" xfId="0" applyNumberFormat="1" applyFont="1"/>
    <xf numFmtId="172" fontId="19" fillId="0" borderId="9" xfId="0" applyNumberFormat="1" applyFont="1" applyBorder="1" applyAlignment="1">
      <alignment vertical="center"/>
    </xf>
    <xf numFmtId="172" fontId="19" fillId="0" borderId="10" xfId="0" applyNumberFormat="1" applyFont="1" applyBorder="1" applyAlignment="1">
      <alignment vertical="center"/>
    </xf>
    <xf numFmtId="172" fontId="19" fillId="0" borderId="11" xfId="0" applyNumberFormat="1" applyFont="1" applyBorder="1" applyAlignment="1">
      <alignment vertical="center"/>
    </xf>
    <xf numFmtId="172" fontId="19" fillId="0" borderId="12" xfId="0" applyNumberFormat="1" applyFont="1" applyBorder="1" applyAlignment="1">
      <alignment vertical="center"/>
    </xf>
    <xf numFmtId="172" fontId="19" fillId="0" borderId="13" xfId="0" applyNumberFormat="1" applyFont="1" applyBorder="1" applyAlignment="1">
      <alignment vertical="center"/>
    </xf>
    <xf numFmtId="172" fontId="19" fillId="0" borderId="14" xfId="0" applyNumberFormat="1" applyFont="1" applyBorder="1" applyAlignment="1">
      <alignment vertical="center"/>
    </xf>
    <xf numFmtId="172" fontId="19" fillId="0" borderId="15" xfId="0" applyNumberFormat="1" applyFont="1" applyBorder="1" applyAlignment="1">
      <alignment vertical="center"/>
    </xf>
    <xf numFmtId="173" fontId="21" fillId="0" borderId="0" xfId="0" applyNumberFormat="1" applyFont="1" applyAlignment="1">
      <alignment horizontal="right" vertical="center"/>
    </xf>
    <xf numFmtId="172" fontId="1" fillId="0" borderId="0" xfId="0" applyNumberFormat="1" applyFont="1" applyAlignment="1">
      <alignment vertical="center"/>
    </xf>
    <xf numFmtId="172" fontId="21" fillId="0" borderId="0" xfId="0" applyNumberFormat="1" applyFont="1" applyAlignment="1">
      <alignment horizontal="right" vertical="center"/>
    </xf>
    <xf numFmtId="172" fontId="24" fillId="0" borderId="0" xfId="0" applyNumberFormat="1" applyFont="1" applyAlignment="1">
      <alignment horizontal="right" vertical="center"/>
    </xf>
    <xf numFmtId="172" fontId="38" fillId="0" borderId="0" xfId="0" applyNumberFormat="1" applyFont="1"/>
    <xf numFmtId="169" fontId="20" fillId="0" borderId="16" xfId="1" applyNumberFormat="1" applyFont="1" applyFill="1" applyBorder="1" applyAlignment="1">
      <alignment horizontal="right" vertical="center"/>
    </xf>
    <xf numFmtId="169" fontId="20" fillId="0" borderId="18" xfId="1" applyNumberFormat="1" applyFont="1" applyFill="1" applyBorder="1" applyAlignment="1">
      <alignment horizontal="right" vertical="center"/>
    </xf>
    <xf numFmtId="169" fontId="20" fillId="0" borderId="17" xfId="1" applyNumberFormat="1" applyFont="1" applyFill="1" applyBorder="1" applyAlignment="1">
      <alignment horizontal="right" vertical="center"/>
    </xf>
    <xf numFmtId="169" fontId="1" fillId="0" borderId="0" xfId="0" applyNumberFormat="1" applyFont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4" fillId="0" borderId="0" xfId="0" applyNumberFormat="1" applyFont="1" applyAlignment="1">
      <alignment horizontal="right" vertical="center"/>
    </xf>
    <xf numFmtId="169" fontId="38" fillId="0" borderId="0" xfId="0" applyNumberFormat="1" applyFont="1" applyAlignment="1">
      <alignment horizontal="right"/>
    </xf>
    <xf numFmtId="169" fontId="19" fillId="0" borderId="9" xfId="0" applyNumberFormat="1" applyFont="1" applyBorder="1" applyAlignment="1">
      <alignment horizontal="right" vertical="center"/>
    </xf>
    <xf numFmtId="169" fontId="19" fillId="0" borderId="10" xfId="0" applyNumberFormat="1" applyFont="1" applyBorder="1" applyAlignment="1">
      <alignment horizontal="right" vertical="center"/>
    </xf>
    <xf numFmtId="169" fontId="19" fillId="0" borderId="11" xfId="0" applyNumberFormat="1" applyFont="1" applyBorder="1" applyAlignment="1">
      <alignment horizontal="right" vertical="center"/>
    </xf>
    <xf numFmtId="169" fontId="19" fillId="0" borderId="12" xfId="0" applyNumberFormat="1" applyFont="1" applyBorder="1" applyAlignment="1">
      <alignment horizontal="right" vertical="center"/>
    </xf>
    <xf numFmtId="169" fontId="19" fillId="0" borderId="13" xfId="0" applyNumberFormat="1" applyFont="1" applyBorder="1" applyAlignment="1">
      <alignment horizontal="right" vertical="center"/>
    </xf>
    <xf numFmtId="169" fontId="19" fillId="0" borderId="14" xfId="0" applyNumberFormat="1" applyFont="1" applyBorder="1" applyAlignment="1">
      <alignment horizontal="right" vertical="center"/>
    </xf>
    <xf numFmtId="169" fontId="19" fillId="0" borderId="4" xfId="0" applyNumberFormat="1" applyFont="1" applyBorder="1" applyAlignment="1">
      <alignment horizontal="right" vertical="center"/>
    </xf>
    <xf numFmtId="169" fontId="19" fillId="0" borderId="15" xfId="0" applyNumberFormat="1" applyFont="1" applyBorder="1" applyAlignment="1">
      <alignment horizontal="right" vertical="center"/>
    </xf>
    <xf numFmtId="172" fontId="19" fillId="0" borderId="6" xfId="0" applyNumberFormat="1" applyFont="1" applyBorder="1" applyAlignment="1">
      <alignment horizontal="right" vertical="center"/>
    </xf>
    <xf numFmtId="172" fontId="19" fillId="0" borderId="7" xfId="0" applyNumberFormat="1" applyFont="1" applyBorder="1" applyAlignment="1">
      <alignment horizontal="right" vertical="center"/>
    </xf>
    <xf numFmtId="172" fontId="19" fillId="0" borderId="8" xfId="0" applyNumberFormat="1" applyFont="1" applyBorder="1" applyAlignment="1">
      <alignment horizontal="right" vertical="center"/>
    </xf>
    <xf numFmtId="172" fontId="19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center" vertical="center"/>
    </xf>
    <xf numFmtId="179" fontId="17" fillId="0" borderId="0" xfId="0" applyNumberFormat="1" applyFont="1" applyAlignment="1">
      <alignment horizontal="center"/>
    </xf>
    <xf numFmtId="179" fontId="17" fillId="0" borderId="29" xfId="0" applyNumberFormat="1" applyFont="1" applyBorder="1" applyAlignment="1">
      <alignment horizontal="center"/>
    </xf>
    <xf numFmtId="179" fontId="17" fillId="0" borderId="30" xfId="0" applyNumberFormat="1" applyFont="1" applyBorder="1" applyAlignment="1">
      <alignment horizontal="center"/>
    </xf>
    <xf numFmtId="167" fontId="3" fillId="0" borderId="24" xfId="0" applyNumberFormat="1" applyFont="1" applyBorder="1" applyAlignment="1">
      <alignment horizontal="right"/>
    </xf>
    <xf numFmtId="169" fontId="17" fillId="0" borderId="7" xfId="0" applyNumberFormat="1" applyFont="1" applyBorder="1"/>
    <xf numFmtId="177" fontId="28" fillId="0" borderId="0" xfId="0" applyNumberFormat="1" applyFont="1" applyAlignment="1">
      <alignment horizontal="right"/>
    </xf>
    <xf numFmtId="174" fontId="17" fillId="0" borderId="11" xfId="0" applyNumberFormat="1" applyFont="1" applyBorder="1"/>
    <xf numFmtId="169" fontId="17" fillId="0" borderId="8" xfId="0" applyNumberFormat="1" applyFont="1" applyBorder="1"/>
    <xf numFmtId="175" fontId="17" fillId="0" borderId="0" xfId="0" applyNumberFormat="1" applyFont="1" applyAlignment="1">
      <alignment horizontal="left"/>
    </xf>
    <xf numFmtId="169" fontId="18" fillId="0" borderId="4" xfId="0" applyNumberFormat="1" applyFont="1" applyBorder="1" applyAlignment="1">
      <alignment horizontal="right"/>
    </xf>
    <xf numFmtId="169" fontId="15" fillId="0" borderId="0" xfId="1" applyNumberFormat="1" applyFont="1" applyFill="1" applyAlignment="1">
      <alignment horizontal="right"/>
    </xf>
    <xf numFmtId="169" fontId="27" fillId="0" borderId="0" xfId="1" applyNumberFormat="1" applyFont="1" applyFill="1" applyAlignment="1">
      <alignment horizontal="right"/>
    </xf>
    <xf numFmtId="0" fontId="64" fillId="0" borderId="0" xfId="0" applyFont="1"/>
    <xf numFmtId="174" fontId="17" fillId="0" borderId="10" xfId="0" applyNumberFormat="1" applyFont="1" applyBorder="1"/>
    <xf numFmtId="0" fontId="16" fillId="3" borderId="0" xfId="0" applyFont="1" applyFill="1"/>
    <xf numFmtId="37" fontId="3" fillId="4" borderId="0" xfId="0" applyNumberFormat="1" applyFont="1" applyFill="1" applyAlignment="1">
      <alignment vertical="center"/>
    </xf>
    <xf numFmtId="37" fontId="4" fillId="4" borderId="0" xfId="0" applyNumberFormat="1" applyFont="1" applyFill="1" applyAlignment="1">
      <alignment vertical="center"/>
    </xf>
    <xf numFmtId="167" fontId="3" fillId="4" borderId="0" xfId="0" applyNumberFormat="1" applyFont="1" applyFill="1" applyAlignment="1">
      <alignment horizontal="right"/>
    </xf>
    <xf numFmtId="0" fontId="46" fillId="5" borderId="0" xfId="0" applyFont="1" applyFill="1" applyAlignment="1">
      <alignment horizontal="right" vertical="center"/>
    </xf>
    <xf numFmtId="37" fontId="39" fillId="4" borderId="0" xfId="0" applyNumberFormat="1" applyFont="1" applyFill="1" applyAlignment="1">
      <alignment vertical="center"/>
    </xf>
    <xf numFmtId="0" fontId="32" fillId="5" borderId="0" xfId="0" applyFont="1" applyFill="1" applyAlignment="1">
      <alignment horizontal="right" vertical="center"/>
    </xf>
    <xf numFmtId="0" fontId="26" fillId="0" borderId="14" xfId="0" applyFont="1" applyBorder="1" applyAlignment="1">
      <alignment horizontal="left"/>
    </xf>
    <xf numFmtId="9" fontId="26" fillId="0" borderId="15" xfId="1" applyFont="1" applyBorder="1"/>
    <xf numFmtId="0" fontId="7" fillId="3" borderId="0" xfId="2" applyFont="1" applyFill="1" applyAlignment="1">
      <alignment horizontal="center" vertical="center"/>
    </xf>
    <xf numFmtId="0" fontId="65" fillId="0" borderId="0" xfId="0" applyFont="1"/>
    <xf numFmtId="9" fontId="19" fillId="0" borderId="9" xfId="1" applyFont="1" applyBorder="1" applyAlignment="1">
      <alignment horizontal="right" vertical="center"/>
    </xf>
    <xf numFmtId="9" fontId="19" fillId="0" borderId="10" xfId="1" applyFont="1" applyBorder="1" applyAlignment="1">
      <alignment horizontal="right" vertical="center"/>
    </xf>
    <xf numFmtId="9" fontId="17" fillId="0" borderId="11" xfId="1" applyFont="1" applyBorder="1" applyAlignment="1">
      <alignment horizontal="right" vertical="center"/>
    </xf>
    <xf numFmtId="9" fontId="19" fillId="0" borderId="12" xfId="1" applyFont="1" applyBorder="1" applyAlignment="1">
      <alignment horizontal="right" vertical="center"/>
    </xf>
    <xf numFmtId="9" fontId="19" fillId="0" borderId="0" xfId="1" applyFont="1" applyAlignment="1">
      <alignment horizontal="right" vertical="center"/>
    </xf>
    <xf numFmtId="9" fontId="17" fillId="0" borderId="13" xfId="1" applyFont="1" applyBorder="1" applyAlignment="1">
      <alignment horizontal="right" vertical="center"/>
    </xf>
    <xf numFmtId="9" fontId="19" fillId="0" borderId="14" xfId="1" applyFont="1" applyBorder="1" applyAlignment="1">
      <alignment horizontal="right" vertical="center"/>
    </xf>
    <xf numFmtId="9" fontId="19" fillId="0" borderId="4" xfId="1" applyFont="1" applyBorder="1" applyAlignment="1">
      <alignment horizontal="right" vertical="center"/>
    </xf>
    <xf numFmtId="9" fontId="17" fillId="0" borderId="15" xfId="1" applyFont="1" applyBorder="1" applyAlignment="1">
      <alignment horizontal="right" vertical="center"/>
    </xf>
    <xf numFmtId="9" fontId="18" fillId="0" borderId="0" xfId="1" applyFont="1"/>
    <xf numFmtId="9" fontId="15" fillId="0" borderId="0" xfId="1" applyFont="1"/>
    <xf numFmtId="169" fontId="9" fillId="0" borderId="0" xfId="0" applyNumberFormat="1" applyFont="1"/>
    <xf numFmtId="0" fontId="21" fillId="0" borderId="0" xfId="0" applyFont="1" applyAlignment="1">
      <alignment horizontal="left" indent="2"/>
    </xf>
    <xf numFmtId="172" fontId="21" fillId="0" borderId="0" xfId="1" applyNumberFormat="1" applyFont="1" applyFill="1" applyBorder="1" applyAlignment="1">
      <alignment horizontal="right"/>
    </xf>
    <xf numFmtId="173" fontId="21" fillId="0" borderId="0" xfId="1" applyNumberFormat="1" applyFont="1" applyFill="1"/>
    <xf numFmtId="172" fontId="21" fillId="0" borderId="0" xfId="1" applyNumberFormat="1" applyFont="1" applyFill="1" applyAlignment="1">
      <alignment horizontal="right"/>
    </xf>
    <xf numFmtId="167" fontId="15" fillId="0" borderId="2" xfId="0" applyNumberFormat="1" applyFont="1" applyBorder="1" applyAlignment="1">
      <alignment horizontal="right" vertical="center"/>
    </xf>
    <xf numFmtId="168" fontId="15" fillId="0" borderId="3" xfId="0" applyNumberFormat="1" applyFont="1" applyBorder="1" applyAlignment="1">
      <alignment horizontal="right" vertical="center"/>
    </xf>
    <xf numFmtId="171" fontId="24" fillId="0" borderId="0" xfId="0" applyNumberFormat="1" applyFont="1" applyAlignment="1">
      <alignment horizontal="right"/>
    </xf>
    <xf numFmtId="171" fontId="18" fillId="0" borderId="0" xfId="0" applyNumberFormat="1" applyFont="1" applyAlignment="1">
      <alignment horizontal="right"/>
    </xf>
    <xf numFmtId="0" fontId="18" fillId="0" borderId="0" xfId="0" applyFont="1" applyAlignment="1">
      <alignment horizontal="left" indent="2"/>
    </xf>
    <xf numFmtId="171" fontId="19" fillId="0" borderId="10" xfId="0" applyNumberFormat="1" applyFont="1" applyBorder="1"/>
    <xf numFmtId="171" fontId="18" fillId="0" borderId="10" xfId="0" applyNumberFormat="1" applyFont="1" applyBorder="1"/>
    <xf numFmtId="171" fontId="66" fillId="0" borderId="0" xfId="0" applyNumberFormat="1" applyFont="1"/>
    <xf numFmtId="171" fontId="67" fillId="0" borderId="0" xfId="0" applyNumberFormat="1" applyFont="1"/>
    <xf numFmtId="171" fontId="9" fillId="0" borderId="0" xfId="0" applyNumberFormat="1" applyFont="1"/>
    <xf numFmtId="171" fontId="35" fillId="0" borderId="22" xfId="0" applyNumberFormat="1" applyFont="1" applyBorder="1" applyAlignment="1">
      <alignment horizontal="right" vertical="center"/>
    </xf>
    <xf numFmtId="171" fontId="20" fillId="0" borderId="22" xfId="0" applyNumberFormat="1" applyFont="1" applyBorder="1" applyAlignment="1">
      <alignment horizontal="right" vertical="center"/>
    </xf>
    <xf numFmtId="170" fontId="19" fillId="0" borderId="0" xfId="0" applyNumberFormat="1" applyFont="1"/>
    <xf numFmtId="170" fontId="15" fillId="0" borderId="22" xfId="0" applyNumberFormat="1" applyFont="1" applyBorder="1" applyAlignment="1">
      <alignment horizontal="right" vertical="center"/>
    </xf>
    <xf numFmtId="170" fontId="18" fillId="0" borderId="10" xfId="0" applyNumberFormat="1" applyFont="1" applyBorder="1"/>
    <xf numFmtId="170" fontId="17" fillId="0" borderId="0" xfId="0" applyNumberFormat="1" applyFont="1"/>
    <xf numFmtId="170" fontId="35" fillId="0" borderId="0" xfId="0" applyNumberFormat="1" applyFont="1"/>
    <xf numFmtId="169" fontId="28" fillId="0" borderId="0" xfId="6" applyNumberFormat="1" applyFont="1" applyFill="1" applyBorder="1" applyAlignment="1">
      <alignment horizontal="right"/>
    </xf>
    <xf numFmtId="169" fontId="17" fillId="0" borderId="5" xfId="0" applyNumberFormat="1" applyFont="1" applyBorder="1" applyAlignment="1">
      <alignment horizontal="right" vertical="center"/>
    </xf>
    <xf numFmtId="168" fontId="3" fillId="0" borderId="0" xfId="0" applyNumberFormat="1" applyFont="1" applyAlignment="1">
      <alignment horizontal="right"/>
    </xf>
    <xf numFmtId="169" fontId="4" fillId="0" borderId="0" xfId="0" applyNumberFormat="1" applyFont="1"/>
    <xf numFmtId="37" fontId="68" fillId="0" borderId="0" xfId="0" applyNumberFormat="1" applyFont="1" applyAlignment="1">
      <alignment vertical="center"/>
    </xf>
    <xf numFmtId="171" fontId="4" fillId="0" borderId="0" xfId="0" applyNumberFormat="1" applyFont="1"/>
    <xf numFmtId="172" fontId="4" fillId="0" borderId="0" xfId="0" applyNumberFormat="1" applyFont="1"/>
    <xf numFmtId="0" fontId="69" fillId="0" borderId="0" xfId="0" applyFont="1" applyAlignment="1">
      <alignment horizontal="center"/>
    </xf>
    <xf numFmtId="174" fontId="4" fillId="0" borderId="0" xfId="0" applyNumberFormat="1" applyFont="1"/>
    <xf numFmtId="169" fontId="4" fillId="0" borderId="0" xfId="0" quotePrefix="1" applyNumberFormat="1" applyFont="1" applyAlignment="1">
      <alignment horizontal="right"/>
    </xf>
    <xf numFmtId="173" fontId="4" fillId="0" borderId="0" xfId="1" quotePrefix="1" applyNumberFormat="1" applyFont="1" applyFill="1" applyBorder="1" applyAlignment="1">
      <alignment horizontal="right"/>
    </xf>
    <xf numFmtId="169" fontId="4" fillId="0" borderId="0" xfId="0" applyNumberFormat="1" applyFont="1" applyAlignment="1">
      <alignment vertical="center"/>
    </xf>
    <xf numFmtId="187" fontId="4" fillId="0" borderId="0" xfId="0" applyNumberFormat="1" applyFont="1"/>
    <xf numFmtId="169" fontId="4" fillId="0" borderId="0" xfId="0" applyNumberFormat="1" applyFont="1" applyAlignment="1">
      <alignment horizontal="right"/>
    </xf>
    <xf numFmtId="169" fontId="3" fillId="0" borderId="0" xfId="0" applyNumberFormat="1" applyFont="1" applyAlignment="1">
      <alignment horizontal="right"/>
    </xf>
    <xf numFmtId="169" fontId="3" fillId="0" borderId="0" xfId="1" applyNumberFormat="1" applyFont="1" applyFill="1" applyBorder="1" applyAlignment="1">
      <alignment horizontal="right"/>
    </xf>
    <xf numFmtId="169" fontId="3" fillId="0" borderId="0" xfId="0" applyNumberFormat="1" applyFont="1" applyAlignment="1">
      <alignment horizontal="right" vertical="center"/>
    </xf>
    <xf numFmtId="9" fontId="4" fillId="0" borderId="0" xfId="1" applyFont="1" applyBorder="1"/>
    <xf numFmtId="169" fontId="4" fillId="0" borderId="0" xfId="0" applyNumberFormat="1" applyFont="1" applyAlignment="1">
      <alignment horizontal="right" vertical="center"/>
    </xf>
    <xf numFmtId="169" fontId="3" fillId="0" borderId="0" xfId="0" applyNumberFormat="1" applyFont="1" applyAlignment="1">
      <alignment vertical="center"/>
    </xf>
    <xf numFmtId="175" fontId="4" fillId="0" borderId="0" xfId="0" applyNumberFormat="1" applyFont="1" applyAlignment="1">
      <alignment horizontal="left"/>
    </xf>
    <xf numFmtId="183" fontId="4" fillId="0" borderId="0" xfId="0" applyNumberFormat="1" applyFont="1"/>
    <xf numFmtId="0" fontId="6" fillId="0" borderId="0" xfId="0" applyFont="1"/>
    <xf numFmtId="169" fontId="17" fillId="0" borderId="32" xfId="0" applyNumberFormat="1" applyFont="1" applyBorder="1"/>
    <xf numFmtId="183" fontId="17" fillId="0" borderId="33" xfId="0" applyNumberFormat="1" applyFont="1" applyBorder="1"/>
    <xf numFmtId="169" fontId="3" fillId="0" borderId="0" xfId="0" applyNumberFormat="1" applyFont="1"/>
    <xf numFmtId="187" fontId="4" fillId="0" borderId="0" xfId="0" applyNumberFormat="1" applyFont="1" applyAlignment="1">
      <alignment horizontal="right"/>
    </xf>
    <xf numFmtId="168" fontId="3" fillId="0" borderId="0" xfId="0" applyNumberFormat="1" applyFont="1" applyAlignment="1">
      <alignment horizontal="right" vertical="center"/>
    </xf>
    <xf numFmtId="171" fontId="70" fillId="0" borderId="0" xfId="0" applyNumberFormat="1" applyFont="1"/>
    <xf numFmtId="171" fontId="3" fillId="0" borderId="0" xfId="0" applyNumberFormat="1" applyFont="1" applyAlignment="1">
      <alignment horizontal="right" vertical="center"/>
    </xf>
    <xf numFmtId="170" fontId="4" fillId="0" borderId="0" xfId="0" applyNumberFormat="1" applyFont="1"/>
    <xf numFmtId="170" fontId="3" fillId="0" borderId="0" xfId="0" applyNumberFormat="1" applyFont="1" applyAlignment="1">
      <alignment horizontal="right" vertical="center"/>
    </xf>
    <xf numFmtId="170" fontId="3" fillId="0" borderId="0" xfId="0" applyNumberFormat="1" applyFont="1"/>
    <xf numFmtId="169" fontId="71" fillId="0" borderId="0" xfId="6" applyNumberFormat="1" applyFont="1" applyFill="1" applyBorder="1" applyAlignment="1">
      <alignment horizontal="right"/>
    </xf>
    <xf numFmtId="0" fontId="72" fillId="0" borderId="0" xfId="7"/>
    <xf numFmtId="199" fontId="16" fillId="0" borderId="0" xfId="0" applyNumberFormat="1" applyFont="1"/>
    <xf numFmtId="173" fontId="16" fillId="0" borderId="0" xfId="1" applyNumberFormat="1" applyFont="1"/>
    <xf numFmtId="171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171" fontId="63" fillId="0" borderId="0" xfId="0" applyNumberFormat="1" applyFont="1" applyAlignment="1">
      <alignment horizontal="right"/>
    </xf>
    <xf numFmtId="172" fontId="4" fillId="0" borderId="0" xfId="1" applyNumberFormat="1" applyFont="1" applyFill="1" applyBorder="1" applyAlignment="1">
      <alignment horizontal="right" vertical="center"/>
    </xf>
    <xf numFmtId="169" fontId="4" fillId="0" borderId="0" xfId="6" applyNumberFormat="1" applyFont="1" applyBorder="1" applyAlignment="1">
      <alignment horizontal="right" vertical="center"/>
    </xf>
    <xf numFmtId="173" fontId="4" fillId="0" borderId="0" xfId="1" applyNumberFormat="1" applyFont="1" applyFill="1" applyBorder="1" applyAlignment="1">
      <alignment vertical="center"/>
    </xf>
    <xf numFmtId="172" fontId="71" fillId="0" borderId="0" xfId="1" applyNumberFormat="1" applyFont="1" applyFill="1" applyBorder="1" applyAlignment="1">
      <alignment horizontal="right" vertical="center"/>
    </xf>
    <xf numFmtId="169" fontId="4" fillId="0" borderId="0" xfId="6" applyNumberFormat="1" applyFont="1" applyFill="1" applyBorder="1" applyAlignment="1">
      <alignment vertical="center"/>
    </xf>
    <xf numFmtId="169" fontId="4" fillId="0" borderId="0" xfId="6" applyNumberFormat="1" applyFont="1" applyBorder="1" applyAlignment="1">
      <alignment vertical="center"/>
    </xf>
    <xf numFmtId="172" fontId="4" fillId="0" borderId="0" xfId="6" applyNumberFormat="1" applyFont="1" applyBorder="1" applyAlignment="1">
      <alignment horizontal="right" vertical="center"/>
    </xf>
    <xf numFmtId="0" fontId="4" fillId="0" borderId="0" xfId="0" applyFont="1" applyAlignment="1">
      <alignment vertical="center"/>
    </xf>
    <xf numFmtId="165" fontId="73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Continuous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71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165" fontId="73" fillId="0" borderId="0" xfId="0" applyNumberFormat="1" applyFont="1" applyAlignment="1">
      <alignment vertical="center"/>
    </xf>
    <xf numFmtId="176" fontId="4" fillId="0" borderId="0" xfId="0" applyNumberFormat="1" applyFont="1" applyAlignment="1">
      <alignment horizontal="center"/>
    </xf>
    <xf numFmtId="0" fontId="73" fillId="0" borderId="0" xfId="0" quotePrefix="1" applyFont="1" applyAlignment="1">
      <alignment horizontal="center" vertic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174" fontId="4" fillId="0" borderId="0" xfId="0" applyNumberFormat="1" applyFont="1" applyAlignment="1">
      <alignment horizontal="right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176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center" textRotation="90"/>
    </xf>
    <xf numFmtId="174" fontId="4" fillId="0" borderId="0" xfId="6" applyNumberFormat="1" applyFont="1" applyFill="1" applyBorder="1" applyAlignment="1">
      <alignment vertical="center"/>
    </xf>
    <xf numFmtId="169" fontId="3" fillId="0" borderId="0" xfId="6" applyNumberFormat="1" applyFont="1" applyFill="1" applyBorder="1" applyAlignment="1">
      <alignment vertical="center"/>
    </xf>
    <xf numFmtId="174" fontId="3" fillId="0" borderId="0" xfId="6" applyNumberFormat="1" applyFont="1" applyFill="1" applyBorder="1" applyAlignment="1">
      <alignment vertical="center"/>
    </xf>
    <xf numFmtId="171" fontId="4" fillId="0" borderId="0" xfId="0" applyNumberFormat="1" applyFont="1" applyAlignment="1">
      <alignment horizontal="right"/>
    </xf>
    <xf numFmtId="172" fontId="4" fillId="0" borderId="0" xfId="6" applyNumberFormat="1" applyFont="1" applyFill="1" applyBorder="1" applyAlignment="1">
      <alignment horizontal="right" vertical="center"/>
    </xf>
    <xf numFmtId="172" fontId="3" fillId="0" borderId="0" xfId="6" applyNumberFormat="1" applyFont="1" applyFill="1" applyBorder="1" applyAlignment="1">
      <alignment horizontal="right" vertical="center"/>
    </xf>
    <xf numFmtId="184" fontId="63" fillId="0" borderId="0" xfId="0" quotePrefix="1" applyNumberFormat="1" applyFont="1" applyAlignment="1">
      <alignment horizontal="right"/>
    </xf>
    <xf numFmtId="0" fontId="18" fillId="0" borderId="34" xfId="0" applyFont="1" applyBorder="1" applyAlignment="1">
      <alignment horizontal="left"/>
    </xf>
    <xf numFmtId="172" fontId="17" fillId="0" borderId="35" xfId="1" applyNumberFormat="1" applyFont="1" applyFill="1" applyBorder="1" applyAlignment="1">
      <alignment horizontal="right"/>
    </xf>
    <xf numFmtId="169" fontId="17" fillId="0" borderId="36" xfId="0" applyNumberFormat="1" applyFont="1" applyBorder="1" applyAlignment="1">
      <alignment horizontal="right"/>
    </xf>
    <xf numFmtId="8" fontId="9" fillId="0" borderId="0" xfId="0" applyNumberFormat="1" applyFont="1"/>
    <xf numFmtId="0" fontId="75" fillId="3" borderId="0" xfId="0" applyFont="1" applyFill="1"/>
    <xf numFmtId="174" fontId="4" fillId="0" borderId="0" xfId="1" applyNumberFormat="1" applyFont="1" applyFill="1" applyBorder="1" applyAlignment="1">
      <alignment horizontal="right" vertical="center"/>
    </xf>
    <xf numFmtId="172" fontId="4" fillId="0" borderId="0" xfId="1" applyNumberFormat="1" applyFont="1" applyFill="1" applyBorder="1" applyAlignment="1">
      <alignment vertical="center"/>
    </xf>
    <xf numFmtId="194" fontId="4" fillId="0" borderId="0" xfId="6" applyNumberFormat="1" applyFont="1" applyFill="1" applyBorder="1" applyAlignment="1">
      <alignment vertical="center"/>
    </xf>
    <xf numFmtId="166" fontId="71" fillId="0" borderId="0" xfId="5" applyNumberFormat="1" applyFont="1" applyFill="1" applyBorder="1" applyAlignment="1">
      <alignment horizontal="right" vertical="center"/>
    </xf>
    <xf numFmtId="166" fontId="78" fillId="0" borderId="0" xfId="5" applyNumberFormat="1" applyFont="1" applyFill="1" applyBorder="1" applyAlignment="1" applyProtection="1">
      <alignment vertical="center"/>
      <protection locked="0"/>
    </xf>
    <xf numFmtId="192" fontId="4" fillId="0" borderId="0" xfId="2" applyNumberFormat="1" applyFont="1" applyFill="1" applyBorder="1" applyAlignment="1" applyProtection="1">
      <alignment horizontal="right" vertical="center"/>
      <protection locked="0"/>
    </xf>
    <xf numFmtId="166" fontId="6" fillId="0" borderId="0" xfId="5" applyNumberFormat="1" applyFont="1" applyBorder="1" applyProtection="1">
      <protection locked="0"/>
    </xf>
    <xf numFmtId="0" fontId="3" fillId="0" borderId="0" xfId="0" applyFont="1"/>
    <xf numFmtId="0" fontId="69" fillId="0" borderId="0" xfId="0" quotePrefix="1" applyFont="1" applyAlignment="1">
      <alignment horizontal="center" vertical="center"/>
    </xf>
    <xf numFmtId="0" fontId="76" fillId="0" borderId="0" xfId="0" applyFont="1"/>
    <xf numFmtId="0" fontId="6" fillId="0" borderId="0" xfId="0" applyFont="1" applyAlignment="1">
      <alignment vertical="center"/>
    </xf>
    <xf numFmtId="0" fontId="69" fillId="0" borderId="0" xfId="0" applyFont="1" applyAlignment="1">
      <alignment horizontal="center" vertical="center"/>
    </xf>
    <xf numFmtId="49" fontId="4" fillId="0" borderId="0" xfId="0" applyNumberFormat="1" applyFont="1" applyAlignment="1">
      <alignment vertical="center"/>
    </xf>
    <xf numFmtId="169" fontId="1" fillId="0" borderId="0" xfId="0" applyNumberFormat="1" applyFont="1"/>
    <xf numFmtId="0" fontId="79" fillId="0" borderId="0" xfId="0" applyFont="1"/>
    <xf numFmtId="166" fontId="83" fillId="7" borderId="0" xfId="9" applyNumberFormat="1" applyFont="1" applyFill="1" applyAlignment="1">
      <alignment horizontal="left"/>
    </xf>
    <xf numFmtId="200" fontId="80" fillId="0" borderId="0" xfId="9" applyNumberFormat="1" applyFont="1"/>
    <xf numFmtId="0" fontId="81" fillId="7" borderId="0" xfId="8" applyFont="1" applyFill="1"/>
    <xf numFmtId="200" fontId="0" fillId="0" borderId="0" xfId="0" applyNumberFormat="1"/>
    <xf numFmtId="200" fontId="0" fillId="0" borderId="0" xfId="9" applyNumberFormat="1" applyFont="1" applyBorder="1"/>
    <xf numFmtId="0" fontId="85" fillId="8" borderId="0" xfId="0" applyFont="1" applyFill="1" applyAlignment="1">
      <alignment vertical="center" wrapText="1"/>
    </xf>
    <xf numFmtId="0" fontId="85" fillId="8" borderId="1" xfId="0" applyFont="1" applyFill="1" applyBorder="1" applyAlignment="1">
      <alignment vertical="center" wrapText="1"/>
    </xf>
    <xf numFmtId="0" fontId="64" fillId="0" borderId="38" xfId="0" applyFont="1" applyBorder="1"/>
    <xf numFmtId="164" fontId="9" fillId="0" borderId="39" xfId="6" applyFont="1" applyBorder="1"/>
    <xf numFmtId="0" fontId="64" fillId="0" borderId="40" xfId="0" applyFont="1" applyBorder="1"/>
    <xf numFmtId="204" fontId="9" fillId="0" borderId="41" xfId="0" applyNumberFormat="1" applyFont="1" applyBorder="1"/>
    <xf numFmtId="0" fontId="86" fillId="9" borderId="1" xfId="0" applyFont="1" applyFill="1" applyBorder="1" applyAlignment="1">
      <alignment vertical="center" wrapText="1"/>
    </xf>
    <xf numFmtId="3" fontId="86" fillId="9" borderId="1" xfId="0" applyNumberFormat="1" applyFont="1" applyFill="1" applyBorder="1" applyAlignment="1">
      <alignment vertical="center" wrapText="1"/>
    </xf>
    <xf numFmtId="9" fontId="85" fillId="10" borderId="0" xfId="1" applyFont="1" applyFill="1" applyBorder="1" applyAlignment="1">
      <alignment vertical="center" wrapText="1"/>
    </xf>
    <xf numFmtId="0" fontId="87" fillId="0" borderId="0" xfId="0" applyFont="1" applyAlignment="1">
      <alignment horizontal="left" vertical="center"/>
    </xf>
    <xf numFmtId="9" fontId="9" fillId="0" borderId="0" xfId="1" applyFont="1"/>
    <xf numFmtId="0" fontId="6" fillId="11" borderId="0" xfId="0" applyFont="1" applyFill="1"/>
    <xf numFmtId="0" fontId="6" fillId="11" borderId="0" xfId="0" applyFont="1" applyFill="1" applyAlignment="1">
      <alignment horizontal="center"/>
    </xf>
    <xf numFmtId="9" fontId="9" fillId="12" borderId="0" xfId="0" applyNumberFormat="1" applyFont="1" applyFill="1"/>
    <xf numFmtId="0" fontId="81" fillId="6" borderId="0" xfId="8" applyFont="1" applyFill="1" applyAlignment="1">
      <alignment horizontal="center"/>
    </xf>
    <xf numFmtId="0" fontId="9" fillId="0" borderId="0" xfId="0" applyFont="1" applyAlignment="1">
      <alignment horizontal="center"/>
    </xf>
    <xf numFmtId="0" fontId="80" fillId="0" borderId="0" xfId="8" applyAlignment="1">
      <alignment horizontal="center"/>
    </xf>
    <xf numFmtId="200" fontId="82" fillId="0" borderId="0" xfId="9" applyNumberFormat="1" applyFont="1" applyAlignment="1">
      <alignment horizontal="center"/>
    </xf>
    <xf numFmtId="201" fontId="0" fillId="0" borderId="0" xfId="10" applyNumberFormat="1" applyFont="1" applyAlignment="1">
      <alignment horizontal="center"/>
    </xf>
    <xf numFmtId="0" fontId="80" fillId="0" borderId="36" xfId="8" applyBorder="1" applyAlignment="1">
      <alignment horizontal="center"/>
    </xf>
    <xf numFmtId="200" fontId="80" fillId="0" borderId="36" xfId="9" applyNumberFormat="1" applyFont="1" applyBorder="1" applyAlignment="1">
      <alignment horizontal="center"/>
    </xf>
    <xf numFmtId="201" fontId="0" fillId="0" borderId="36" xfId="10" applyNumberFormat="1" applyFont="1" applyBorder="1" applyAlignment="1">
      <alignment horizontal="center"/>
    </xf>
    <xf numFmtId="2" fontId="80" fillId="0" borderId="0" xfId="8" applyNumberFormat="1" applyAlignment="1">
      <alignment horizontal="center"/>
    </xf>
    <xf numFmtId="1" fontId="80" fillId="0" borderId="0" xfId="8" applyNumberFormat="1" applyAlignment="1">
      <alignment horizontal="center"/>
    </xf>
    <xf numFmtId="201" fontId="80" fillId="0" borderId="0" xfId="10" applyNumberFormat="1" applyFont="1" applyAlignment="1">
      <alignment horizontal="center"/>
    </xf>
    <xf numFmtId="202" fontId="80" fillId="0" borderId="0" xfId="9" applyNumberFormat="1" applyFont="1" applyAlignment="1">
      <alignment horizontal="center"/>
    </xf>
    <xf numFmtId="0" fontId="80" fillId="0" borderId="37" xfId="8" applyBorder="1" applyAlignment="1">
      <alignment horizontal="center"/>
    </xf>
    <xf numFmtId="200" fontId="80" fillId="0" borderId="37" xfId="9" applyNumberFormat="1" applyFont="1" applyBorder="1" applyAlignment="1">
      <alignment horizontal="center"/>
    </xf>
    <xf numFmtId="201" fontId="0" fillId="0" borderId="37" xfId="10" applyNumberFormat="1" applyFont="1" applyBorder="1" applyAlignment="1">
      <alignment horizontal="center"/>
    </xf>
    <xf numFmtId="203" fontId="80" fillId="0" borderId="0" xfId="9" applyNumberFormat="1" applyFont="1" applyBorder="1" applyAlignment="1">
      <alignment horizontal="center"/>
    </xf>
    <xf numFmtId="201" fontId="0" fillId="0" borderId="0" xfId="10" applyNumberFormat="1" applyFont="1" applyBorder="1" applyAlignment="1">
      <alignment horizontal="center"/>
    </xf>
    <xf numFmtId="200" fontId="0" fillId="0" borderId="0" xfId="9" applyNumberFormat="1" applyFont="1" applyAlignment="1">
      <alignment horizontal="center"/>
    </xf>
    <xf numFmtId="200" fontId="0" fillId="0" borderId="0" xfId="0" applyNumberFormat="1" applyAlignment="1">
      <alignment horizontal="center"/>
    </xf>
    <xf numFmtId="200" fontId="80" fillId="0" borderId="0" xfId="8" applyNumberFormat="1" applyAlignment="1">
      <alignment horizontal="center"/>
    </xf>
    <xf numFmtId="200" fontId="0" fillId="0" borderId="36" xfId="9" applyNumberFormat="1" applyFont="1" applyBorder="1" applyAlignment="1">
      <alignment horizontal="center"/>
    </xf>
    <xf numFmtId="200" fontId="80" fillId="0" borderId="36" xfId="8" applyNumberFormat="1" applyBorder="1" applyAlignment="1">
      <alignment horizontal="center"/>
    </xf>
    <xf numFmtId="200" fontId="80" fillId="0" borderId="0" xfId="9" applyNumberFormat="1" applyFont="1" applyAlignment="1">
      <alignment horizontal="center"/>
    </xf>
    <xf numFmtId="200" fontId="0" fillId="0" borderId="37" xfId="9" applyNumberFormat="1" applyFont="1" applyBorder="1" applyAlignment="1">
      <alignment horizontal="center"/>
    </xf>
    <xf numFmtId="200" fontId="80" fillId="0" borderId="37" xfId="8" applyNumberFormat="1" applyBorder="1" applyAlignment="1">
      <alignment horizontal="center"/>
    </xf>
    <xf numFmtId="0" fontId="81" fillId="13" borderId="0" xfId="0" applyFont="1" applyFill="1"/>
    <xf numFmtId="0" fontId="70" fillId="13" borderId="0" xfId="0" applyFont="1" applyFill="1"/>
    <xf numFmtId="200" fontId="0" fillId="0" borderId="37" xfId="0" applyNumberFormat="1" applyBorder="1"/>
    <xf numFmtId="0" fontId="4" fillId="0" borderId="0" xfId="0" applyFont="1" applyAlignment="1">
      <alignment horizontal="center" vertical="center" textRotation="90"/>
    </xf>
    <xf numFmtId="0" fontId="88" fillId="11" borderId="0" xfId="0" applyFont="1" applyFill="1" applyAlignment="1">
      <alignment horizontal="left"/>
    </xf>
  </cellXfs>
  <cellStyles count="13">
    <cellStyle name="Comma" xfId="6" builtinId="3"/>
    <cellStyle name="Comma 2" xfId="5" xr:uid="{E4921B80-8D66-4D3A-80A8-30D7AC6654E4}"/>
    <cellStyle name="Comma 3" xfId="9" xr:uid="{25C466CD-ED1A-4C2F-A093-CA07A60FF066}"/>
    <cellStyle name="Hyperlink" xfId="7" builtinId="8"/>
    <cellStyle name="Hyperlink 2" xfId="2" xr:uid="{AB6B3A7D-3778-4F12-89C6-854994145915}"/>
    <cellStyle name="Hyperlink 2 2" xfId="3" xr:uid="{68C7A1A0-E6BF-4680-81F4-BC0E6FC46C33}"/>
    <cellStyle name="Hyperlink 3" xfId="11" xr:uid="{A58F64A5-88E4-4CD5-8D95-6AC6634F8B48}"/>
    <cellStyle name="Normal" xfId="0" builtinId="0"/>
    <cellStyle name="Normal 2" xfId="8" xr:uid="{26C8C2DA-8DBA-4FF6-BFC1-A48E76BE0134}"/>
    <cellStyle name="Normal 2 2" xfId="12" xr:uid="{24DF8D52-DFB4-4D5E-8A36-ED698E5A2115}"/>
    <cellStyle name="Normal 2 2 2" xfId="4" xr:uid="{78B9DE1D-532C-4950-9B15-A4A33EAE21E4}"/>
    <cellStyle name="Percent" xfId="1" builtinId="5"/>
    <cellStyle name="Percent 2" xfId="10" xr:uid="{0356F4CA-DB66-4F4F-A1B1-6CB6CB77F650}"/>
  </cellStyles>
  <dxfs count="32">
    <dxf>
      <font>
        <b/>
        <i val="0"/>
        <color theme="0"/>
      </font>
      <fill>
        <patternFill patternType="solid">
          <bgColor rgb="FFFA621C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b/>
        <i val="0"/>
        <color theme="0"/>
      </font>
      <fill>
        <patternFill>
          <bgColor rgb="FFFA621C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b/>
        <i val="0"/>
        <color theme="0"/>
      </font>
      <fill>
        <patternFill>
          <fgColor auto="1"/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colors>
    <mruColors>
      <color rgb="FFFA621C"/>
      <color rgb="FFC328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Outputs!$G$155</c:f>
              <c:strCache>
                <c:ptCount val="1"/>
                <c:pt idx="0">
                  <c:v>Market share</c:v>
                </c:pt>
              </c:strCache>
            </c:strRef>
          </c:tx>
          <c:explosion val="13"/>
          <c:cat>
            <c:multiLvlStrRef>
              <c:f>Outputs!$C$156:$C$158</c:f>
            </c:multiLvlStrRef>
          </c:cat>
          <c:val>
            <c:numRef>
              <c:f>Outputs!$G$156:$G$158</c:f>
            </c:numRef>
          </c:val>
          <c:extLst>
            <c:ext xmlns:c16="http://schemas.microsoft.com/office/drawing/2014/chart" uri="{C3380CC4-5D6E-409C-BE32-E72D297353CC}">
              <c16:uniqueId val="{00000000-9300-434B-AF79-2D95990647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Outputs!$I$155</c:f>
              <c:strCache>
                <c:ptCount val="1"/>
                <c:pt idx="0">
                  <c:v>Market shair internationally</c:v>
                </c:pt>
              </c:strCache>
            </c:strRef>
          </c:tx>
          <c:cat>
            <c:multiLvlStrRef>
              <c:f>Outputs!$C$156:$C$158</c:f>
            </c:multiLvlStrRef>
          </c:cat>
          <c:val>
            <c:numRef>
              <c:f>Outputs!$I$156:$I$158</c:f>
            </c:numRef>
          </c:val>
          <c:extLst>
            <c:ext xmlns:c16="http://schemas.microsoft.com/office/drawing/2014/chart" uri="{C3380CC4-5D6E-409C-BE32-E72D297353CC}">
              <c16:uniqueId val="{00000000-9501-4D3C-9460-07A1B90508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market Plant capacit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pieChart>
        <c:varyColors val="1"/>
        <c:ser>
          <c:idx val="0"/>
          <c:order val="0"/>
          <c:explosion val="44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Outputs!$C$156:$C$158</c:f>
            </c:multiLvlStrRef>
          </c:cat>
          <c:val>
            <c:numRef>
              <c:f>Outputs!$E$156:$E$158</c:f>
            </c:numRef>
          </c:val>
          <c:extLst>
            <c:ext xmlns:c16="http://schemas.microsoft.com/office/drawing/2014/chart" uri="{C3380CC4-5D6E-409C-BE32-E72D297353CC}">
              <c16:uniqueId val="{00000000-20A8-4A19-8D44-E8FD8A65A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explosion val="149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multiLvlStrRef>
              <c:f>Outputs!$M$115:$M$116</c:f>
            </c:multiLvlStrRef>
          </c:cat>
          <c:val>
            <c:numRef>
              <c:f>Outputs!$N$115:$N$116</c:f>
            </c:numRef>
          </c:val>
          <c:extLst>
            <c:ext xmlns:c16="http://schemas.microsoft.com/office/drawing/2014/chart" uri="{C3380CC4-5D6E-409C-BE32-E72D297353CC}">
              <c16:uniqueId val="{00000000-DAF7-4E48-B5A1-B17DC4335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plotArea>
      <cx:plotAreaRegion>
        <cx:series layoutId="waterfall" hidden="1" uniqueId="{58CAF9C2-EE35-47BD-939D-675E29E4B5B1}" formatIdx="0">
          <cx:tx>
            <cx:txData>
              <cx:f>_xlchart.v1.0</cx:f>
              <cx:v/>
            </cx:txData>
          </cx:tx>
          <cx:dataPt idx="0">
            <cx:spPr>
              <a:solidFill>
                <a:srgbClr val="4472C4">
                  <a:lumMod val="50000"/>
                </a:srgbClr>
              </a:solidFill>
            </cx:spPr>
          </cx:dataPt>
          <cx:dataPt idx="5">
            <cx:spPr>
              <a:solidFill>
                <a:srgbClr val="002060"/>
              </a:solidFill>
            </cx:spPr>
          </cx:dataPt>
          <cx:dataLabels pos="outEnd">
            <cx:visibility seriesName="0" categoryName="0" value="1"/>
          </cx:dataLabels>
          <cx:dataId val="0"/>
          <cx:layoutPr>
            <cx:subtotals>
              <cx:idx val="0"/>
              <cx:idx val="5"/>
            </cx:subtotals>
          </cx:layoutPr>
        </cx:series>
      </cx:plotAreaRegion>
    </cx:plotArea>
    <cx:legend pos="t" align="ctr" overlay="0"/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$F$26" fmlaRange="$D$77:$D$79" noThreeD="1" sel="1" val="0"/>
</file>

<file path=xl/ctrlProps/ctrlProp2.xml><?xml version="1.0" encoding="utf-8"?>
<formControlPr xmlns="http://schemas.microsoft.com/office/spreadsheetml/2009/9/main" objectType="Drop" dropStyle="combo" dx="22" fmlaLink="Outputs!$F$26" fmlaRange="$B$12:$B$14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4.xml"/><Relationship Id="rId4" Type="http://schemas.microsoft.com/office/2014/relationships/chartEx" Target="../charts/chartEx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25</xdr:row>
          <xdr:rowOff>0</xdr:rowOff>
        </xdr:from>
        <xdr:to>
          <xdr:col>6</xdr:col>
          <xdr:colOff>0</xdr:colOff>
          <xdr:row>26</xdr:row>
          <xdr:rowOff>0</xdr:rowOff>
        </xdr:to>
        <xdr:sp macro="" textlink="">
          <xdr:nvSpPr>
            <xdr:cNvPr id="18433" name="Drop Down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0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238124</xdr:colOff>
      <xdr:row>151</xdr:row>
      <xdr:rowOff>17461</xdr:rowOff>
    </xdr:from>
    <xdr:to>
      <xdr:col>14</xdr:col>
      <xdr:colOff>257174</xdr:colOff>
      <xdr:row>165</xdr:row>
      <xdr:rowOff>133349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238125</xdr:colOff>
      <xdr:row>166</xdr:row>
      <xdr:rowOff>11112</xdr:rowOff>
    </xdr:from>
    <xdr:to>
      <xdr:col>14</xdr:col>
      <xdr:colOff>149225</xdr:colOff>
      <xdr:row>179</xdr:row>
      <xdr:rowOff>30162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430212</xdr:colOff>
      <xdr:row>166</xdr:row>
      <xdr:rowOff>198437</xdr:rowOff>
    </xdr:from>
    <xdr:to>
      <xdr:col>8</xdr:col>
      <xdr:colOff>1306512</xdr:colOff>
      <xdr:row>180</xdr:row>
      <xdr:rowOff>7937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236536</xdr:colOff>
      <xdr:row>127</xdr:row>
      <xdr:rowOff>122237</xdr:rowOff>
    </xdr:from>
    <xdr:to>
      <xdr:col>9</xdr:col>
      <xdr:colOff>781049</xdr:colOff>
      <xdr:row>141</xdr:row>
      <xdr:rowOff>130176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Chart 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46561" y="21259800"/>
              <a:ext cx="4402138" cy="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11</xdr:col>
      <xdr:colOff>363537</xdr:colOff>
      <xdr:row>118</xdr:row>
      <xdr:rowOff>55562</xdr:rowOff>
    </xdr:from>
    <xdr:to>
      <xdr:col>16</xdr:col>
      <xdr:colOff>201612</xdr:colOff>
      <xdr:row>131</xdr:row>
      <xdr:rowOff>74612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523875</xdr:colOff>
          <xdr:row>6</xdr:row>
          <xdr:rowOff>0</xdr:rowOff>
        </xdr:from>
        <xdr:to>
          <xdr:col>3</xdr:col>
          <xdr:colOff>781050</xdr:colOff>
          <xdr:row>7</xdr:row>
          <xdr:rowOff>0</xdr:rowOff>
        </xdr:to>
        <xdr:sp macro="" textlink="">
          <xdr:nvSpPr>
            <xdr:cNvPr id="4113" name="Drop Down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1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7" Type="http://schemas.openxmlformats.org/officeDocument/2006/relationships/ctrlProp" Target="../ctrlProps/ctrlProp2.xml"/><Relationship Id="rId2" Type="http://schemas.openxmlformats.org/officeDocument/2006/relationships/hyperlink" Target="https://pages.stern.nyu.edu/~adamodar/New_Home_Page/datafile/ctryprem.html" TargetMode="External"/><Relationship Id="rId1" Type="http://schemas.openxmlformats.org/officeDocument/2006/relationships/hyperlink" Target="http://www.market-risk-premia.com/sa.html" TargetMode="External"/><Relationship Id="rId6" Type="http://schemas.openxmlformats.org/officeDocument/2006/relationships/vmlDrawing" Target="../drawings/vmlDrawing4.vm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2834F-EFB3-4ABF-888A-163B1D640914}">
  <sheetPr>
    <pageSetUpPr autoPageBreaks="0"/>
  </sheetPr>
  <dimension ref="A1:R181"/>
  <sheetViews>
    <sheetView showGridLines="0" zoomScaleNormal="100" zoomScaleSheetLayoutView="95" workbookViewId="0">
      <pane ySplit="1" topLeftCell="A2" activePane="bottomLeft" state="frozen"/>
      <selection activeCell="A3" sqref="A3"/>
      <selection pane="bottomLeft" activeCell="B155" sqref="B155"/>
    </sheetView>
  </sheetViews>
  <sheetFormatPr defaultColWidth="9.140625" defaultRowHeight="16.5" outlineLevelRow="1"/>
  <cols>
    <col min="1" max="1" width="9.140625" style="109"/>
    <col min="2" max="2" width="2.7109375" style="109" customWidth="1"/>
    <col min="3" max="3" width="20.28515625" style="109" customWidth="1"/>
    <col min="4" max="4" width="16.85546875" style="109" bestFit="1" customWidth="1"/>
    <col min="5" max="5" width="11.140625" style="109" bestFit="1" customWidth="1"/>
    <col min="6" max="6" width="10.42578125" style="109" customWidth="1"/>
    <col min="7" max="7" width="11.7109375" style="109" customWidth="1"/>
    <col min="8" max="8" width="15.140625" style="109" customWidth="1"/>
    <col min="9" max="9" width="20.5703125" style="109" bestFit="1" customWidth="1"/>
    <col min="10" max="12" width="15.140625" style="109" customWidth="1"/>
    <col min="13" max="16" width="11.7109375" style="109" customWidth="1"/>
    <col min="17" max="17" width="3.7109375" style="109" customWidth="1"/>
    <col min="18" max="16384" width="9.140625" style="109"/>
  </cols>
  <sheetData>
    <row r="1" spans="1:18" ht="50.1" customHeight="1">
      <c r="B1" s="412"/>
      <c r="C1" s="533" t="s">
        <v>289</v>
      </c>
      <c r="D1" s="412"/>
      <c r="E1" s="412"/>
      <c r="F1" s="412"/>
      <c r="G1" s="412"/>
      <c r="H1" s="412"/>
      <c r="I1" s="412"/>
      <c r="J1" s="421"/>
      <c r="K1" s="412"/>
      <c r="L1" s="412"/>
      <c r="M1" s="412"/>
      <c r="N1" s="412"/>
      <c r="O1" s="412"/>
      <c r="P1" s="412"/>
      <c r="Q1" s="412"/>
      <c r="R1" s="12"/>
    </row>
    <row r="2" spans="1:18" ht="14.1" customHeight="1"/>
    <row r="3" spans="1:18" ht="21">
      <c r="A3" s="1"/>
      <c r="B3" s="417" t="s">
        <v>281</v>
      </c>
      <c r="C3" s="413"/>
      <c r="D3" s="414"/>
      <c r="E3" s="414"/>
      <c r="F3" s="415"/>
      <c r="G3" s="415"/>
      <c r="H3" s="415"/>
      <c r="I3" s="415"/>
      <c r="J3" s="415"/>
      <c r="K3" s="415"/>
      <c r="L3" s="418"/>
      <c r="M3" s="415"/>
      <c r="N3" s="416"/>
      <c r="O3" s="415"/>
      <c r="P3" s="416"/>
      <c r="Q3" s="105"/>
      <c r="R3" s="9"/>
    </row>
    <row r="4" spans="1:18" ht="14.1" customHeight="1" outlineLevel="1"/>
    <row r="5" spans="1:18" ht="14.1" customHeight="1" outlineLevel="1" thickBot="1">
      <c r="C5" s="17" t="s">
        <v>239</v>
      </c>
      <c r="D5" s="14"/>
      <c r="E5" s="14"/>
      <c r="F5" s="14"/>
      <c r="G5" s="14"/>
      <c r="H5" s="106" t="str">
        <f ca="1">H$5</f>
        <v>2023A</v>
      </c>
      <c r="I5" s="102">
        <f ca="1">I$5</f>
        <v>2024</v>
      </c>
      <c r="J5" s="102">
        <f ca="1">J$5</f>
        <v>2025</v>
      </c>
      <c r="K5" s="102">
        <f ca="1">K$5</f>
        <v>2026</v>
      </c>
    </row>
    <row r="6" spans="1:18" ht="14.1" customHeight="1" outlineLevel="1">
      <c r="C6" s="17"/>
      <c r="D6" s="14"/>
      <c r="E6" s="14"/>
      <c r="F6" s="14"/>
      <c r="G6" s="14"/>
      <c r="H6" s="14"/>
      <c r="I6" s="14"/>
      <c r="J6" s="14"/>
      <c r="K6" s="14"/>
    </row>
    <row r="7" spans="1:18" ht="14.1" customHeight="1" outlineLevel="1">
      <c r="C7" s="269" t="s">
        <v>0</v>
      </c>
      <c r="D7" s="14"/>
      <c r="E7" s="14"/>
      <c r="F7" s="14"/>
      <c r="G7" s="14"/>
      <c r="H7" s="160">
        <f>Model!G93</f>
        <v>390000</v>
      </c>
      <c r="I7" s="160">
        <f>Model!H93</f>
        <v>493349.99999999994</v>
      </c>
      <c r="J7" s="160">
        <f>Model!I93</f>
        <v>624087.74999999988</v>
      </c>
      <c r="K7" s="160">
        <f>Model!J93</f>
        <v>789471.00375000003</v>
      </c>
    </row>
    <row r="8" spans="1:18" ht="14.1" customHeight="1" outlineLevel="1">
      <c r="C8" s="269"/>
      <c r="D8" s="14"/>
      <c r="E8" s="14"/>
      <c r="F8" s="14"/>
      <c r="G8" s="14"/>
      <c r="H8" s="160"/>
      <c r="I8" s="160"/>
      <c r="J8" s="160"/>
      <c r="K8" s="160"/>
    </row>
    <row r="9" spans="1:18" ht="14.1" customHeight="1" outlineLevel="1">
      <c r="C9" s="269" t="s">
        <v>33</v>
      </c>
      <c r="D9" s="14"/>
      <c r="E9" s="14"/>
      <c r="F9" s="14"/>
      <c r="G9" s="14"/>
      <c r="H9" s="160">
        <f>Model!G100</f>
        <v>33800</v>
      </c>
      <c r="I9" s="160">
        <f>Model!H100</f>
        <v>96738</v>
      </c>
      <c r="J9" s="160">
        <f>Model!I100</f>
        <v>183915.70499999984</v>
      </c>
      <c r="K9" s="160">
        <f>Model!J100</f>
        <v>300221.10829499993</v>
      </c>
    </row>
    <row r="10" spans="1:18" ht="14.1" customHeight="1" outlineLevel="1">
      <c r="C10" s="435" t="s">
        <v>240</v>
      </c>
      <c r="D10" s="14"/>
      <c r="E10" s="14"/>
      <c r="F10" s="14"/>
      <c r="G10" s="14"/>
      <c r="H10" s="436">
        <f>H9/H7</f>
        <v>8.666666666666667E-2</v>
      </c>
      <c r="I10" s="436">
        <f>I9/I7</f>
        <v>0.19608391608391609</v>
      </c>
      <c r="J10" s="436">
        <f>J9/J7</f>
        <v>0.294695265209099</v>
      </c>
      <c r="K10" s="436">
        <f>K9/K7</f>
        <v>0.38028136165729304</v>
      </c>
    </row>
    <row r="11" spans="1:18" ht="14.1" customHeight="1" outlineLevel="1">
      <c r="C11" s="435"/>
      <c r="D11" s="14"/>
      <c r="E11" s="14"/>
      <c r="F11" s="14"/>
      <c r="G11" s="14"/>
      <c r="H11" s="437"/>
      <c r="I11" s="437"/>
      <c r="J11" s="437"/>
      <c r="K11" s="437"/>
    </row>
    <row r="12" spans="1:18" ht="14.1" customHeight="1" outlineLevel="1">
      <c r="C12" s="269" t="s">
        <v>39</v>
      </c>
      <c r="D12" s="14"/>
      <c r="E12" s="14"/>
      <c r="F12" s="14"/>
      <c r="G12" s="14"/>
      <c r="H12" s="160">
        <f>Model!G113</f>
        <v>33680</v>
      </c>
      <c r="I12" s="160" t="e">
        <f>Model!H113</f>
        <v>#REF!</v>
      </c>
      <c r="J12" s="160" t="e">
        <f>Model!I113</f>
        <v>#REF!</v>
      </c>
      <c r="K12" s="160" t="e">
        <f>Model!J113</f>
        <v>#REF!</v>
      </c>
    </row>
    <row r="13" spans="1:18" ht="14.1" customHeight="1" outlineLevel="1">
      <c r="C13" s="435" t="s">
        <v>241</v>
      </c>
      <c r="D13" s="14"/>
      <c r="E13" s="14"/>
      <c r="F13" s="14"/>
      <c r="G13" s="14"/>
      <c r="H13" s="438">
        <f>H12/H7</f>
        <v>8.6358974358974355E-2</v>
      </c>
      <c r="I13" s="438" t="e">
        <f>I12/I7</f>
        <v>#REF!</v>
      </c>
      <c r="J13" s="438" t="e">
        <f>J12/J7</f>
        <v>#REF!</v>
      </c>
      <c r="K13" s="438" t="e">
        <f>K12/K7</f>
        <v>#REF!</v>
      </c>
    </row>
    <row r="14" spans="1:18" ht="14.1" customHeight="1" outlineLevel="1">
      <c r="C14" s="14"/>
      <c r="D14" s="14"/>
      <c r="E14" s="14"/>
      <c r="F14" s="14"/>
      <c r="G14" s="14"/>
      <c r="H14" s="14"/>
      <c r="I14" s="14"/>
      <c r="J14" s="14"/>
      <c r="K14" s="14"/>
    </row>
    <row r="15" spans="1:18" ht="14.1" customHeight="1" outlineLevel="1">
      <c r="C15" s="14"/>
      <c r="D15" s="14"/>
      <c r="E15" s="14"/>
      <c r="F15" s="14"/>
      <c r="G15" s="14"/>
      <c r="H15" s="14"/>
      <c r="I15" s="14"/>
      <c r="J15" s="14"/>
      <c r="K15" s="14"/>
    </row>
    <row r="16" spans="1:18" ht="14.1" customHeight="1" outlineLevel="1">
      <c r="C16" s="17" t="s">
        <v>242</v>
      </c>
      <c r="D16" s="14"/>
      <c r="E16" s="14"/>
      <c r="F16" s="14"/>
      <c r="G16" s="14"/>
      <c r="H16" s="14"/>
      <c r="I16" s="14"/>
      <c r="J16" s="14"/>
      <c r="K16" s="14"/>
    </row>
    <row r="17" spans="1:18" ht="14.1" customHeight="1" outlineLevel="1" thickBot="1">
      <c r="C17" s="17"/>
      <c r="D17" s="14"/>
      <c r="E17" s="14"/>
      <c r="F17" s="14"/>
      <c r="G17" s="14"/>
      <c r="H17" s="106" t="str">
        <f ca="1">H$5</f>
        <v>2023A</v>
      </c>
      <c r="I17" s="102">
        <f ca="1">I$5</f>
        <v>2024</v>
      </c>
      <c r="J17" s="102">
        <f ca="1">J$5</f>
        <v>2025</v>
      </c>
      <c r="K17" s="102">
        <f ca="1">K$5</f>
        <v>2026</v>
      </c>
    </row>
    <row r="18" spans="1:18" ht="14.1" customHeight="1" outlineLevel="1">
      <c r="C18" s="269" t="s">
        <v>243</v>
      </c>
      <c r="D18" s="14"/>
      <c r="E18" s="14"/>
      <c r="F18" s="14"/>
      <c r="G18" s="14"/>
      <c r="H18" s="160">
        <f>Model!F419</f>
        <v>17391.448499999999</v>
      </c>
      <c r="I18" s="160" t="e">
        <f>Model!G419</f>
        <v>#REF!</v>
      </c>
      <c r="J18" s="160" t="e">
        <f>Model!H419</f>
        <v>#REF!</v>
      </c>
      <c r="K18" s="160" t="e">
        <f>Model!I419</f>
        <v>#REF!</v>
      </c>
    </row>
    <row r="19" spans="1:18" ht="14.1" customHeight="1" outlineLevel="1">
      <c r="C19" s="269" t="s">
        <v>244</v>
      </c>
      <c r="D19" s="14"/>
      <c r="E19" s="14"/>
      <c r="F19" s="14"/>
      <c r="G19" s="14"/>
      <c r="H19" s="160">
        <f>Model!F424</f>
        <v>-11130</v>
      </c>
      <c r="I19" s="160">
        <f>Model!G424</f>
        <v>-4000</v>
      </c>
      <c r="J19" s="160">
        <f>Model!H424</f>
        <v>-4300</v>
      </c>
      <c r="K19" s="160">
        <f>Model!I424</f>
        <v>-4400</v>
      </c>
    </row>
    <row r="20" spans="1:18" ht="14.1" customHeight="1" outlineLevel="1">
      <c r="C20" s="269" t="s">
        <v>245</v>
      </c>
      <c r="D20" s="14"/>
      <c r="E20" s="14"/>
      <c r="F20" s="14"/>
      <c r="G20" s="14"/>
      <c r="H20" s="181">
        <f>Model!F432</f>
        <v>-7216</v>
      </c>
      <c r="I20" s="181" t="e">
        <f>Model!G432</f>
        <v>#REF!</v>
      </c>
      <c r="J20" s="181" t="e">
        <f>Model!H432</f>
        <v>#REF!</v>
      </c>
      <c r="K20" s="181" t="e">
        <f>Model!I432</f>
        <v>#REF!</v>
      </c>
    </row>
    <row r="21" spans="1:18" ht="14.1" customHeight="1" outlineLevel="1">
      <c r="C21" s="269" t="s">
        <v>246</v>
      </c>
      <c r="D21" s="14"/>
      <c r="E21" s="14"/>
      <c r="F21" s="14"/>
      <c r="G21" s="14"/>
      <c r="H21" s="160">
        <f>SUM(H18:H20)</f>
        <v>-954.5515000000014</v>
      </c>
      <c r="I21" s="160" t="e">
        <f>SUM(I18:I20)</f>
        <v>#REF!</v>
      </c>
      <c r="J21" s="160" t="e">
        <f>SUM(J18:J20)</f>
        <v>#REF!</v>
      </c>
      <c r="K21" s="160" t="e">
        <f>SUM(K18:K20)</f>
        <v>#REF!</v>
      </c>
    </row>
    <row r="22" spans="1:18" ht="14.1" customHeight="1"/>
    <row r="23" spans="1:18" ht="21">
      <c r="A23" s="1" t="s">
        <v>143</v>
      </c>
      <c r="B23" s="417" t="s">
        <v>288</v>
      </c>
      <c r="C23" s="413"/>
      <c r="D23" s="414"/>
      <c r="E23" s="414"/>
      <c r="F23" s="415"/>
      <c r="G23" s="415"/>
      <c r="H23" s="415"/>
      <c r="I23" s="415"/>
      <c r="J23" s="415"/>
      <c r="K23" s="415"/>
      <c r="L23" s="418"/>
      <c r="M23" s="415"/>
      <c r="N23" s="416"/>
      <c r="O23" s="415"/>
      <c r="P23" s="416"/>
      <c r="Q23" s="105"/>
      <c r="R23" s="9"/>
    </row>
    <row r="24" spans="1:18" ht="15" customHeight="1" outlineLevel="1">
      <c r="A24" s="147"/>
      <c r="B24" s="10"/>
      <c r="C24" s="7"/>
      <c r="D24" s="7"/>
      <c r="E24" s="8"/>
      <c r="F24" s="8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 ht="15" customHeight="1" outlineLevel="1">
      <c r="A25" s="1"/>
      <c r="F25" s="11"/>
      <c r="G25" s="141"/>
      <c r="H25" s="11"/>
      <c r="I25" s="11"/>
      <c r="J25" s="39"/>
      <c r="K25" s="39"/>
      <c r="L25" s="298"/>
      <c r="M25" s="298"/>
      <c r="N25" s="298"/>
      <c r="O25" s="298"/>
    </row>
    <row r="26" spans="1:18" ht="15" customHeight="1" outlineLevel="1">
      <c r="D26" s="298" t="s">
        <v>151</v>
      </c>
      <c r="F26" s="347">
        <v>1</v>
      </c>
      <c r="L26" s="231" t="s">
        <v>19</v>
      </c>
      <c r="M26" s="146"/>
      <c r="N26" s="146"/>
      <c r="O26" s="146"/>
    </row>
    <row r="27" spans="1:18" ht="15" customHeight="1" outlineLevel="1">
      <c r="D27" s="298"/>
      <c r="F27" s="347"/>
      <c r="L27" s="231"/>
      <c r="M27" s="146"/>
      <c r="N27" s="146"/>
      <c r="O27" s="146"/>
    </row>
    <row r="28" spans="1:18" ht="15" customHeight="1" outlineLevel="1">
      <c r="D28" s="529" t="s">
        <v>89</v>
      </c>
      <c r="E28" s="530">
        <f>Inputs!L84</f>
        <v>0.11137741853708437</v>
      </c>
      <c r="F28" s="347"/>
      <c r="L28" s="231"/>
      <c r="M28" s="146"/>
      <c r="N28" s="146"/>
      <c r="O28" s="146"/>
    </row>
    <row r="29" spans="1:18" ht="15" customHeight="1" outlineLevel="1">
      <c r="D29" s="298"/>
      <c r="F29" s="347"/>
      <c r="H29" s="11"/>
      <c r="L29" s="231"/>
      <c r="M29" s="146"/>
      <c r="N29" s="146"/>
      <c r="O29" s="146"/>
    </row>
    <row r="30" spans="1:18" ht="15" customHeight="1" outlineLevel="1">
      <c r="D30" s="298"/>
      <c r="F30" s="347"/>
      <c r="L30" s="231"/>
      <c r="M30" s="146"/>
      <c r="N30" s="146"/>
      <c r="O30" s="146"/>
    </row>
    <row r="31" spans="1:18" ht="15" customHeight="1" outlineLevel="1" thickBot="1">
      <c r="D31" s="298"/>
      <c r="F31" s="347"/>
      <c r="I31" s="102">
        <f ca="1">I$5</f>
        <v>2024</v>
      </c>
      <c r="J31" s="102">
        <f ca="1">J$5</f>
        <v>2025</v>
      </c>
      <c r="K31" s="102">
        <f ca="1">K$5</f>
        <v>2026</v>
      </c>
      <c r="L31" s="231"/>
      <c r="M31" s="146"/>
      <c r="N31" s="146"/>
      <c r="O31" s="146"/>
    </row>
    <row r="32" spans="1:18" ht="15" customHeight="1" outlineLevel="1">
      <c r="D32" s="298"/>
      <c r="F32" s="347"/>
      <c r="G32" s="269" t="s">
        <v>284</v>
      </c>
      <c r="I32" s="160" t="e">
        <f>Model!I348</f>
        <v>#REF!</v>
      </c>
      <c r="J32" s="160" t="e">
        <f>Model!J348</f>
        <v>#REF!</v>
      </c>
      <c r="K32" s="160" t="e">
        <f>Model!K348</f>
        <v>#REF!</v>
      </c>
      <c r="L32" s="231"/>
      <c r="M32" s="146"/>
      <c r="N32" s="146"/>
      <c r="O32" s="146"/>
    </row>
    <row r="33" spans="4:15" ht="15" customHeight="1" outlineLevel="1">
      <c r="D33" s="298"/>
      <c r="F33" s="347"/>
      <c r="G33" s="269" t="s">
        <v>87</v>
      </c>
      <c r="I33" s="160">
        <v>1</v>
      </c>
      <c r="J33" s="160">
        <v>2</v>
      </c>
      <c r="K33" s="160">
        <v>3</v>
      </c>
      <c r="L33" s="231"/>
      <c r="M33" s="146"/>
      <c r="N33" s="146"/>
      <c r="O33" s="146"/>
    </row>
    <row r="34" spans="4:15" ht="15" customHeight="1" outlineLevel="1">
      <c r="D34" s="298"/>
      <c r="F34" s="347"/>
      <c r="G34" s="107" t="s">
        <v>287</v>
      </c>
      <c r="I34" s="531" t="e">
        <f>I32/(1+$E$28)^I33</f>
        <v>#REF!</v>
      </c>
      <c r="J34" s="531" t="e">
        <f>J32/(1+$E$28)^J33</f>
        <v>#REF!</v>
      </c>
      <c r="K34" s="531" t="e">
        <f>K32/(1+$E$28)^K33</f>
        <v>#REF!</v>
      </c>
      <c r="L34" s="231"/>
      <c r="M34" s="146"/>
      <c r="N34" s="146"/>
      <c r="O34" s="146"/>
    </row>
    <row r="35" spans="4:15" ht="15" customHeight="1" outlineLevel="1">
      <c r="D35" s="298"/>
      <c r="F35" s="347"/>
      <c r="L35" s="231"/>
      <c r="M35" s="146"/>
      <c r="N35" s="146"/>
      <c r="O35" s="146"/>
    </row>
    <row r="36" spans="4:15" ht="15" customHeight="1" outlineLevel="1">
      <c r="D36" s="298"/>
      <c r="F36" s="347"/>
      <c r="I36" s="532"/>
      <c r="J36" s="532"/>
      <c r="L36" s="231"/>
      <c r="M36" s="146"/>
      <c r="N36" s="146"/>
      <c r="O36" s="146"/>
    </row>
    <row r="37" spans="4:15" ht="15" customHeight="1" outlineLevel="1">
      <c r="D37" s="298"/>
      <c r="F37" s="347"/>
      <c r="L37" s="231"/>
      <c r="M37" s="146"/>
      <c r="N37" s="146"/>
      <c r="O37" s="146"/>
    </row>
    <row r="38" spans="4:15" ht="15" customHeight="1" outlineLevel="1">
      <c r="D38" s="298"/>
      <c r="F38" s="347"/>
      <c r="L38" s="231"/>
      <c r="M38" s="146"/>
      <c r="N38" s="146"/>
      <c r="O38" s="146"/>
    </row>
    <row r="39" spans="4:15" ht="15" customHeight="1" outlineLevel="1">
      <c r="D39" s="298"/>
      <c r="F39" s="347"/>
      <c r="L39" s="231"/>
      <c r="M39" s="146"/>
      <c r="N39" s="146"/>
      <c r="O39" s="146"/>
    </row>
    <row r="40" spans="4:15" ht="15" customHeight="1" outlineLevel="1">
      <c r="D40" s="298"/>
      <c r="F40" s="347"/>
      <c r="L40" s="231"/>
      <c r="M40" s="146"/>
      <c r="N40" s="146"/>
      <c r="O40" s="146"/>
    </row>
    <row r="41" spans="4:15" ht="15" customHeight="1" outlineLevel="1">
      <c r="D41" s="298"/>
      <c r="F41" s="347"/>
      <c r="L41" s="231"/>
      <c r="M41" s="146"/>
      <c r="N41" s="146"/>
      <c r="O41" s="146"/>
    </row>
    <row r="42" spans="4:15" ht="15" customHeight="1" outlineLevel="1">
      <c r="D42" s="298"/>
      <c r="F42" s="347"/>
      <c r="L42" s="231"/>
      <c r="M42" s="146"/>
      <c r="N42" s="146"/>
      <c r="O42" s="146"/>
    </row>
    <row r="43" spans="4:15" ht="15" customHeight="1" outlineLevel="1">
      <c r="D43" s="298"/>
      <c r="F43" s="347"/>
      <c r="L43" s="231"/>
      <c r="M43" s="146"/>
      <c r="N43" s="146"/>
      <c r="O43" s="146"/>
    </row>
    <row r="44" spans="4:15" ht="15" customHeight="1" outlineLevel="1">
      <c r="D44" s="298"/>
      <c r="F44" s="347"/>
      <c r="L44" s="231"/>
      <c r="M44" s="146"/>
      <c r="N44" s="146"/>
      <c r="O44" s="146"/>
    </row>
    <row r="45" spans="4:15" ht="15" customHeight="1" outlineLevel="1">
      <c r="D45" s="298"/>
      <c r="F45" s="347"/>
      <c r="L45" s="231"/>
      <c r="M45" s="146"/>
      <c r="N45" s="146"/>
      <c r="O45" s="146"/>
    </row>
    <row r="46" spans="4:15" ht="15" customHeight="1" outlineLevel="1">
      <c r="D46" s="298"/>
      <c r="F46" s="347"/>
      <c r="L46" s="231"/>
      <c r="M46" s="146"/>
      <c r="N46" s="146"/>
      <c r="O46" s="146"/>
    </row>
    <row r="47" spans="4:15" ht="15" customHeight="1" outlineLevel="1">
      <c r="D47" s="298"/>
      <c r="F47" s="347"/>
      <c r="L47" s="231"/>
      <c r="M47" s="146"/>
      <c r="N47" s="146"/>
      <c r="O47" s="146"/>
    </row>
    <row r="48" spans="4:15" ht="15" customHeight="1" outlineLevel="1">
      <c r="D48" s="298"/>
      <c r="F48" s="347"/>
      <c r="L48" s="231"/>
      <c r="M48" s="146"/>
      <c r="N48" s="146"/>
      <c r="O48" s="146"/>
    </row>
    <row r="49" spans="1:18" ht="15" customHeight="1" outlineLevel="1">
      <c r="D49" s="298"/>
      <c r="F49" s="347"/>
      <c r="L49" s="231"/>
      <c r="M49" s="146"/>
      <c r="N49" s="146"/>
      <c r="O49" s="146"/>
    </row>
    <row r="50" spans="1:18" ht="15" customHeight="1" outlineLevel="1">
      <c r="D50" s="298"/>
      <c r="F50" s="347"/>
      <c r="L50" s="231"/>
      <c r="M50" s="146"/>
      <c r="N50" s="146"/>
      <c r="O50" s="146"/>
    </row>
    <row r="51" spans="1:18" ht="15" customHeight="1" outlineLevel="1">
      <c r="D51" s="298"/>
      <c r="F51" s="347"/>
      <c r="L51" s="231"/>
      <c r="M51" s="146"/>
      <c r="N51" s="146"/>
      <c r="O51" s="146"/>
    </row>
    <row r="52" spans="1:18" ht="15" customHeight="1" outlineLevel="1">
      <c r="D52" s="298"/>
      <c r="F52" s="347"/>
      <c r="L52" s="231"/>
      <c r="M52" s="146"/>
      <c r="N52" s="146"/>
      <c r="O52" s="146"/>
    </row>
    <row r="53" spans="1:18" ht="15" customHeight="1" outlineLevel="1">
      <c r="D53" s="298"/>
      <c r="F53" s="347"/>
      <c r="L53" s="231"/>
      <c r="M53" s="146"/>
      <c r="N53" s="146"/>
      <c r="O53" s="146"/>
    </row>
    <row r="54" spans="1:18" ht="15" customHeight="1" outlineLevel="1">
      <c r="D54" s="298"/>
      <c r="F54" s="347"/>
      <c r="L54" s="231"/>
      <c r="M54" s="146"/>
      <c r="N54" s="146"/>
      <c r="O54" s="146"/>
    </row>
    <row r="55" spans="1:18" ht="15" customHeight="1" outlineLevel="1">
      <c r="D55" s="298"/>
      <c r="F55" s="347"/>
      <c r="L55" s="231"/>
      <c r="M55" s="146"/>
      <c r="N55" s="146"/>
      <c r="O55" s="146"/>
    </row>
    <row r="56" spans="1:18" ht="15" customHeight="1" outlineLevel="1">
      <c r="D56" s="298"/>
      <c r="F56" s="347"/>
      <c r="L56" s="231"/>
      <c r="M56" s="146"/>
      <c r="N56" s="146"/>
      <c r="O56" s="146"/>
    </row>
    <row r="57" spans="1:18" ht="15" customHeight="1" outlineLevel="1">
      <c r="D57" s="298"/>
      <c r="F57" s="347"/>
      <c r="L57" s="231"/>
      <c r="M57" s="146"/>
      <c r="N57" s="146"/>
      <c r="O57" s="146"/>
    </row>
    <row r="58" spans="1:18" ht="15" customHeight="1" outlineLevel="1">
      <c r="D58" s="298"/>
      <c r="F58" s="347"/>
      <c r="L58" s="231"/>
      <c r="M58" s="146"/>
      <c r="N58" s="146"/>
      <c r="O58" s="146"/>
    </row>
    <row r="59" spans="1:18" ht="15" customHeight="1" outlineLevel="1">
      <c r="D59" s="298"/>
      <c r="F59" s="347"/>
      <c r="L59" s="231"/>
      <c r="M59" s="146"/>
      <c r="N59" s="146"/>
      <c r="O59" s="146"/>
    </row>
    <row r="60" spans="1:18" ht="15" customHeight="1" outlineLevel="1">
      <c r="A60" s="478"/>
      <c r="B60" s="478"/>
      <c r="C60" s="478"/>
      <c r="D60" s="504"/>
      <c r="E60" s="478"/>
      <c r="F60" s="493"/>
      <c r="G60" s="478"/>
      <c r="H60" s="478"/>
      <c r="I60" s="478"/>
      <c r="J60" s="478"/>
      <c r="K60" s="478"/>
      <c r="L60" s="505"/>
      <c r="M60" s="506"/>
      <c r="N60" s="506"/>
      <c r="O60" s="506"/>
      <c r="P60" s="478"/>
      <c r="Q60" s="478"/>
      <c r="R60" s="478"/>
    </row>
    <row r="61" spans="1:18" ht="15" customHeight="1" outlineLevel="1">
      <c r="A61" s="478"/>
      <c r="B61" s="478"/>
      <c r="C61" s="478"/>
      <c r="D61" s="504"/>
      <c r="E61" s="478"/>
      <c r="F61" s="493"/>
      <c r="G61" s="478"/>
      <c r="H61" s="478"/>
      <c r="I61" s="478"/>
      <c r="J61" s="478"/>
      <c r="K61" s="478"/>
      <c r="L61" s="505"/>
      <c r="M61" s="506"/>
      <c r="N61" s="506"/>
      <c r="O61" s="506"/>
      <c r="P61" s="478"/>
      <c r="Q61" s="478"/>
      <c r="R61" s="478"/>
    </row>
    <row r="62" spans="1:18" ht="15" customHeight="1" outlineLevel="1">
      <c r="A62" s="478"/>
      <c r="B62" s="478"/>
      <c r="C62" s="478"/>
      <c r="D62" s="504"/>
      <c r="E62" s="478"/>
      <c r="F62" s="493"/>
      <c r="G62" s="478"/>
      <c r="H62" s="478"/>
      <c r="I62" s="478"/>
      <c r="J62" s="478"/>
      <c r="K62" s="478"/>
      <c r="L62" s="505"/>
      <c r="M62" s="506"/>
      <c r="N62" s="506"/>
      <c r="O62" s="506"/>
      <c r="P62" s="478"/>
      <c r="Q62" s="478"/>
      <c r="R62" s="478"/>
    </row>
    <row r="63" spans="1:18" ht="15" customHeight="1" outlineLevel="1">
      <c r="A63" s="478"/>
      <c r="B63" s="478"/>
      <c r="C63" s="478"/>
      <c r="D63" s="504"/>
      <c r="E63" s="478"/>
      <c r="F63" s="493"/>
      <c r="G63" s="478"/>
      <c r="H63" s="478"/>
      <c r="I63" s="478"/>
      <c r="J63" s="478"/>
      <c r="K63" s="478"/>
      <c r="L63" s="505"/>
      <c r="M63" s="506"/>
      <c r="N63" s="506"/>
      <c r="O63" s="506"/>
      <c r="P63" s="478"/>
      <c r="Q63" s="478"/>
      <c r="R63" s="478"/>
    </row>
    <row r="64" spans="1:18" ht="15" customHeight="1" outlineLevel="1">
      <c r="A64" s="478"/>
      <c r="B64" s="478"/>
      <c r="C64" s="478"/>
      <c r="D64" s="504"/>
      <c r="E64" s="478"/>
      <c r="F64" s="493"/>
      <c r="G64" s="478"/>
      <c r="H64" s="478"/>
      <c r="I64" s="478"/>
      <c r="J64" s="478"/>
      <c r="K64" s="478"/>
      <c r="L64" s="505"/>
      <c r="M64" s="506"/>
      <c r="N64" s="506"/>
      <c r="O64" s="506"/>
      <c r="P64" s="478"/>
      <c r="Q64" s="478"/>
      <c r="R64" s="478"/>
    </row>
    <row r="65" spans="1:18" ht="15" customHeight="1" outlineLevel="1">
      <c r="A65" s="478"/>
      <c r="B65" s="478"/>
      <c r="C65" s="478"/>
      <c r="D65" s="504"/>
      <c r="E65" s="478"/>
      <c r="F65" s="493"/>
      <c r="G65" s="478"/>
      <c r="H65" s="478"/>
      <c r="I65" s="478"/>
      <c r="J65" s="478"/>
      <c r="K65" s="478"/>
      <c r="L65" s="505"/>
      <c r="M65" s="506"/>
      <c r="N65" s="506"/>
      <c r="O65" s="506"/>
      <c r="P65" s="478"/>
      <c r="Q65" s="478"/>
      <c r="R65" s="478"/>
    </row>
    <row r="66" spans="1:18" ht="15" customHeight="1" outlineLevel="1">
      <c r="A66" s="478"/>
      <c r="B66" s="478"/>
      <c r="C66" s="478"/>
      <c r="D66" s="504"/>
      <c r="E66" s="478"/>
      <c r="F66" s="493"/>
      <c r="G66" s="478"/>
      <c r="H66" s="478"/>
      <c r="I66" s="478"/>
      <c r="J66" s="478"/>
      <c r="K66" s="478"/>
      <c r="L66" s="505"/>
      <c r="M66" s="506"/>
      <c r="N66" s="506"/>
      <c r="O66" s="506"/>
      <c r="P66" s="478"/>
      <c r="Q66" s="478"/>
      <c r="R66" s="478"/>
    </row>
    <row r="67" spans="1:18" ht="15" customHeight="1" outlineLevel="1">
      <c r="A67" s="478"/>
      <c r="B67" s="478"/>
      <c r="C67" s="478"/>
      <c r="D67" s="504"/>
      <c r="E67" s="478"/>
      <c r="F67" s="493"/>
      <c r="G67" s="478"/>
      <c r="H67" s="478"/>
      <c r="I67" s="478"/>
      <c r="J67" s="478"/>
      <c r="K67" s="478"/>
      <c r="L67" s="505"/>
      <c r="M67" s="506"/>
      <c r="N67" s="506"/>
      <c r="O67" s="506"/>
      <c r="P67" s="478"/>
      <c r="Q67" s="478"/>
      <c r="R67" s="478"/>
    </row>
    <row r="68" spans="1:18" ht="15" customHeight="1" outlineLevel="1">
      <c r="A68" s="478"/>
      <c r="B68" s="478"/>
      <c r="C68" s="478"/>
      <c r="D68" s="504"/>
      <c r="E68" s="478"/>
      <c r="F68" s="493"/>
      <c r="G68" s="478"/>
      <c r="H68" s="478"/>
      <c r="I68" s="478"/>
      <c r="J68" s="478"/>
      <c r="K68" s="478"/>
      <c r="L68" s="505"/>
      <c r="M68" s="506"/>
      <c r="N68" s="506"/>
      <c r="O68" s="506"/>
      <c r="P68" s="478"/>
      <c r="Q68" s="478"/>
      <c r="R68" s="478"/>
    </row>
    <row r="69" spans="1:18" ht="15" customHeight="1" outlineLevel="1">
      <c r="A69" s="478"/>
      <c r="B69" s="478"/>
      <c r="C69" s="478"/>
      <c r="D69" s="504"/>
      <c r="E69" s="478"/>
      <c r="F69" s="493"/>
      <c r="G69" s="478"/>
      <c r="H69" s="478"/>
      <c r="I69" s="478"/>
      <c r="J69" s="478"/>
      <c r="K69" s="478"/>
      <c r="L69" s="505"/>
      <c r="M69" s="506"/>
      <c r="N69" s="506"/>
      <c r="O69" s="506"/>
      <c r="P69" s="478"/>
      <c r="Q69" s="478"/>
      <c r="R69" s="478"/>
    </row>
    <row r="70" spans="1:18" ht="15" customHeight="1" outlineLevel="1">
      <c r="A70" s="478"/>
      <c r="B70" s="478"/>
      <c r="C70" s="478"/>
      <c r="D70" s="478"/>
      <c r="E70" s="478"/>
      <c r="F70" s="478"/>
      <c r="G70" s="478"/>
      <c r="H70" s="478"/>
      <c r="I70" s="478"/>
      <c r="J70" s="478"/>
      <c r="K70" s="478"/>
      <c r="L70" s="478"/>
      <c r="M70" s="478"/>
      <c r="N70" s="478"/>
      <c r="O70" s="478"/>
      <c r="P70" s="478"/>
      <c r="Q70" s="478"/>
      <c r="R70" s="478"/>
    </row>
    <row r="71" spans="1:18" ht="15" customHeight="1" outlineLevel="1">
      <c r="A71" s="478"/>
      <c r="B71" s="478"/>
      <c r="C71" s="478"/>
      <c r="D71" s="478"/>
      <c r="E71" s="478"/>
      <c r="F71" s="478"/>
      <c r="G71" s="478"/>
      <c r="H71" s="478"/>
      <c r="I71" s="478"/>
      <c r="J71" s="478"/>
      <c r="K71" s="478"/>
      <c r="L71" s="478"/>
      <c r="M71" s="478"/>
      <c r="N71" s="478"/>
      <c r="O71" s="478"/>
      <c r="P71" s="478"/>
      <c r="Q71" s="478"/>
      <c r="R71" s="478"/>
    </row>
    <row r="72" spans="1:18" ht="15" customHeight="1" outlineLevel="1">
      <c r="A72" s="478"/>
      <c r="B72" s="478"/>
      <c r="C72" s="478"/>
      <c r="D72" s="507" t="s">
        <v>285</v>
      </c>
      <c r="E72" s="506"/>
      <c r="F72" s="506"/>
      <c r="G72" s="506"/>
      <c r="H72" s="506"/>
      <c r="I72" s="478"/>
      <c r="J72" s="478"/>
      <c r="K72" s="478"/>
      <c r="L72" s="507" t="s">
        <v>164</v>
      </c>
      <c r="M72" s="506"/>
      <c r="N72" s="506"/>
      <c r="O72" s="506"/>
      <c r="P72" s="478"/>
      <c r="Q72" s="478"/>
      <c r="R72" s="478"/>
    </row>
    <row r="73" spans="1:18" s="12" customFormat="1" ht="15" customHeight="1" outlineLevel="1">
      <c r="A73" s="478"/>
      <c r="B73" s="478"/>
      <c r="C73" s="478"/>
      <c r="D73" s="478"/>
      <c r="E73" s="478"/>
      <c r="F73" s="478"/>
      <c r="G73" s="478"/>
      <c r="H73" s="478"/>
      <c r="I73" s="9"/>
      <c r="J73" s="460"/>
      <c r="K73" s="460"/>
      <c r="L73" s="478"/>
      <c r="M73" s="478"/>
      <c r="N73" s="478"/>
      <c r="O73" s="478"/>
      <c r="P73" s="478"/>
      <c r="Q73" s="478"/>
      <c r="R73" s="478"/>
    </row>
    <row r="74" spans="1:18" ht="15" customHeight="1" outlineLevel="1">
      <c r="A74" s="460"/>
      <c r="B74" s="478"/>
      <c r="C74" s="478"/>
      <c r="D74" s="507"/>
      <c r="E74" s="478"/>
      <c r="F74" s="508" t="s">
        <v>144</v>
      </c>
      <c r="G74" s="508" t="s">
        <v>93</v>
      </c>
      <c r="H74" s="508" t="s">
        <v>93</v>
      </c>
      <c r="I74" s="459"/>
      <c r="J74" s="459"/>
      <c r="K74" s="459"/>
      <c r="L74" s="478"/>
      <c r="M74" s="478"/>
      <c r="N74" s="478"/>
      <c r="O74" s="478"/>
      <c r="P74" s="478"/>
      <c r="Q74" s="478"/>
      <c r="R74" s="478"/>
    </row>
    <row r="75" spans="1:18" ht="15" customHeight="1" outlineLevel="1">
      <c r="A75" s="460"/>
      <c r="B75" s="478"/>
      <c r="C75" s="478"/>
      <c r="D75" s="478"/>
      <c r="E75" s="478"/>
      <c r="F75" s="508" t="s">
        <v>145</v>
      </c>
      <c r="G75" s="508" t="s">
        <v>145</v>
      </c>
      <c r="H75" s="508" t="s">
        <v>150</v>
      </c>
      <c r="I75" s="459"/>
      <c r="J75" s="459"/>
      <c r="K75" s="459"/>
      <c r="L75" s="504" t="s">
        <v>83</v>
      </c>
      <c r="M75" s="504"/>
      <c r="N75" s="509"/>
      <c r="O75" s="497">
        <f>Inputs!$F$107</f>
        <v>0.02</v>
      </c>
      <c r="P75" s="478"/>
      <c r="Q75" s="478"/>
      <c r="R75" s="478"/>
    </row>
    <row r="76" spans="1:18" ht="15" customHeight="1" outlineLevel="1">
      <c r="A76" s="460"/>
      <c r="B76" s="478"/>
      <c r="C76" s="478"/>
      <c r="D76" s="478"/>
      <c r="E76" s="478"/>
      <c r="F76" s="493" t="e">
        <f>Model!$H$397</f>
        <v>#REF!</v>
      </c>
      <c r="G76" s="510"/>
      <c r="H76" s="510"/>
      <c r="I76" s="459"/>
      <c r="J76" s="459"/>
      <c r="K76" s="459"/>
      <c r="L76" s="504" t="s">
        <v>89</v>
      </c>
      <c r="M76" s="478"/>
      <c r="N76" s="509"/>
      <c r="O76" s="497">
        <f>Inputs!$L$84</f>
        <v>0.11137741853708437</v>
      </c>
      <c r="P76" s="478"/>
      <c r="Q76" s="478"/>
      <c r="R76" s="478"/>
    </row>
    <row r="77" spans="1:18" ht="15" customHeight="1" outlineLevel="1">
      <c r="A77" s="460"/>
      <c r="B77" s="511"/>
      <c r="C77" s="478"/>
      <c r="D77" s="504" t="s">
        <v>154</v>
      </c>
      <c r="E77" s="494">
        <v>1</v>
      </c>
      <c r="F77" s="493" t="e">
        <f t="dataTable" ref="F77:F79" dt2D="0" dtr="0" r1="F26"/>
        <v>#REF!</v>
      </c>
      <c r="G77" s="493" t="e">
        <f>F77-$O$77</f>
        <v>#REF!</v>
      </c>
      <c r="H77" s="512" t="e">
        <f>G77/$O$78</f>
        <v>#REF!</v>
      </c>
      <c r="I77" s="9"/>
      <c r="J77" s="460"/>
      <c r="K77" s="460"/>
      <c r="L77" s="504" t="s">
        <v>112</v>
      </c>
      <c r="M77" s="478"/>
      <c r="N77" s="513" t="str">
        <f>CONCATENATE("(End of ",Model!$G$5,")")</f>
        <v>(End of 1)</v>
      </c>
      <c r="O77" s="498">
        <f>Inputs!$L$94</f>
        <v>0</v>
      </c>
      <c r="P77" s="478"/>
      <c r="Q77" s="478"/>
      <c r="R77" s="478"/>
    </row>
    <row r="78" spans="1:18" ht="15" customHeight="1" outlineLevel="1">
      <c r="A78" s="460"/>
      <c r="B78" s="511"/>
      <c r="C78" s="478"/>
      <c r="D78" s="504" t="s">
        <v>155</v>
      </c>
      <c r="E78" s="494">
        <v>2</v>
      </c>
      <c r="F78" s="493" t="e">
        <v>#REF!</v>
      </c>
      <c r="G78" s="493" t="e">
        <f>F78-$O$77</f>
        <v>#REF!</v>
      </c>
      <c r="H78" s="512" t="e">
        <f>G78/$O$78</f>
        <v>#REF!</v>
      </c>
      <c r="I78" s="9"/>
      <c r="J78" s="460"/>
      <c r="K78" s="460"/>
      <c r="L78" s="504" t="s">
        <v>114</v>
      </c>
      <c r="M78" s="504"/>
      <c r="N78" s="513" t="s">
        <v>148</v>
      </c>
      <c r="O78" s="498">
        <f>Inputs!$F$105</f>
        <v>34200</v>
      </c>
      <c r="P78" s="478"/>
      <c r="Q78" s="514"/>
      <c r="R78" s="478"/>
    </row>
    <row r="79" spans="1:18" s="12" customFormat="1" ht="15" customHeight="1" outlineLevel="1">
      <c r="A79" s="478"/>
      <c r="B79" s="515"/>
      <c r="C79" s="478"/>
      <c r="D79" s="504" t="s">
        <v>156</v>
      </c>
      <c r="E79" s="494">
        <v>3</v>
      </c>
      <c r="F79" s="493" t="e">
        <v>#REF!</v>
      </c>
      <c r="G79" s="493" t="e">
        <f>F79-$O$77</f>
        <v>#REF!</v>
      </c>
      <c r="H79" s="512" t="e">
        <f>G79/$O$78</f>
        <v>#REF!</v>
      </c>
      <c r="I79" s="478"/>
      <c r="J79" s="478"/>
      <c r="K79" s="478"/>
      <c r="L79" s="504" t="s">
        <v>146</v>
      </c>
      <c r="M79" s="516"/>
      <c r="N79" s="513" t="s">
        <v>149</v>
      </c>
      <c r="O79" s="517">
        <f>Inputs!$F$106</f>
        <v>2.23</v>
      </c>
      <c r="P79" s="478"/>
      <c r="Q79" s="478"/>
      <c r="R79" s="478"/>
    </row>
    <row r="80" spans="1:18" s="12" customFormat="1" ht="15" customHeight="1" outlineLevel="1">
      <c r="A80" s="478"/>
      <c r="B80" s="514"/>
      <c r="C80" s="478"/>
      <c r="D80" s="478"/>
      <c r="E80" s="478"/>
      <c r="F80" s="478"/>
      <c r="G80" s="478"/>
      <c r="H80" s="478"/>
      <c r="I80" s="478"/>
      <c r="J80" s="478"/>
      <c r="K80" s="478"/>
      <c r="L80" s="504"/>
      <c r="M80" s="478"/>
      <c r="N80" s="478"/>
      <c r="O80" s="509"/>
      <c r="P80" s="499"/>
      <c r="Q80" s="514"/>
      <c r="R80" s="478"/>
    </row>
    <row r="81" spans="1:18" ht="15" customHeight="1" outlineLevel="1">
      <c r="A81" s="478"/>
      <c r="B81" s="478"/>
      <c r="C81" s="478"/>
      <c r="D81" s="478"/>
      <c r="E81" s="478"/>
      <c r="F81" s="478"/>
      <c r="G81" s="478"/>
      <c r="H81" s="478"/>
      <c r="I81" s="478"/>
      <c r="J81" s="478"/>
      <c r="K81" s="478"/>
      <c r="L81" s="478"/>
      <c r="M81" s="478"/>
      <c r="N81" s="478"/>
      <c r="O81" s="478"/>
      <c r="P81" s="478"/>
      <c r="Q81" s="478"/>
      <c r="R81" s="478"/>
    </row>
    <row r="82" spans="1:18" ht="15" customHeight="1" outlineLevel="1">
      <c r="A82" s="478"/>
      <c r="B82" s="478"/>
      <c r="C82" s="478"/>
      <c r="D82" s="478"/>
      <c r="E82" s="478"/>
      <c r="F82" s="478"/>
      <c r="G82" s="478"/>
      <c r="H82" s="478"/>
      <c r="I82" s="478"/>
      <c r="J82" s="478"/>
      <c r="K82" s="478"/>
      <c r="L82" s="478"/>
      <c r="M82" s="478"/>
      <c r="N82" s="478"/>
      <c r="O82" s="478"/>
      <c r="P82" s="478"/>
      <c r="Q82" s="478"/>
      <c r="R82" s="478"/>
    </row>
    <row r="83" spans="1:18" ht="15" customHeight="1" outlineLevel="1">
      <c r="A83" s="478"/>
      <c r="B83" s="478"/>
      <c r="C83" s="478"/>
      <c r="D83" s="518" t="s">
        <v>286</v>
      </c>
      <c r="E83" s="506"/>
      <c r="F83" s="506"/>
      <c r="G83" s="506"/>
      <c r="H83" s="506"/>
      <c r="I83" s="478"/>
      <c r="J83" s="478"/>
      <c r="K83" s="478"/>
      <c r="L83" s="518" t="s">
        <v>113</v>
      </c>
      <c r="M83" s="506"/>
      <c r="N83" s="506"/>
      <c r="O83" s="506"/>
      <c r="P83" s="506"/>
      <c r="Q83" s="478"/>
      <c r="R83" s="478"/>
    </row>
    <row r="84" spans="1:18" ht="15" customHeight="1" outlineLevel="1">
      <c r="A84" s="478"/>
      <c r="B84" s="478"/>
      <c r="C84" s="478"/>
      <c r="D84" s="478"/>
      <c r="E84" s="478"/>
      <c r="F84" s="478"/>
      <c r="G84" s="478"/>
      <c r="H84" s="478"/>
      <c r="I84" s="478"/>
      <c r="J84" s="478"/>
      <c r="K84" s="478"/>
      <c r="L84" s="478"/>
      <c r="M84" s="478"/>
      <c r="N84" s="478"/>
      <c r="O84" s="478"/>
      <c r="P84" s="478"/>
      <c r="Q84" s="478"/>
      <c r="R84" s="478"/>
    </row>
    <row r="85" spans="1:18" s="316" customFormat="1" ht="15" customHeight="1" outlineLevel="1">
      <c r="A85" s="495"/>
      <c r="B85" s="495"/>
      <c r="C85" s="495"/>
      <c r="D85" s="519" t="s">
        <v>83</v>
      </c>
      <c r="E85" s="506"/>
      <c r="F85" s="506"/>
      <c r="G85" s="506"/>
      <c r="H85" s="506"/>
      <c r="I85" s="495"/>
      <c r="J85" s="478"/>
      <c r="K85" s="495"/>
      <c r="L85" s="519" t="s">
        <v>83</v>
      </c>
      <c r="M85" s="506"/>
      <c r="N85" s="506"/>
      <c r="O85" s="506"/>
      <c r="P85" s="506"/>
      <c r="Q85" s="478"/>
      <c r="R85" s="495"/>
    </row>
    <row r="86" spans="1:18" ht="15" customHeight="1" outlineLevel="1">
      <c r="A86" s="478"/>
      <c r="B86" s="478"/>
      <c r="C86" s="496" t="e">
        <f>Model!$H$397</f>
        <v>#REF!</v>
      </c>
      <c r="D86" s="500">
        <f>E86-0.005</f>
        <v>9.9999999999999985E-3</v>
      </c>
      <c r="E86" s="500">
        <f>F86-0.005</f>
        <v>1.4999999999999999E-2</v>
      </c>
      <c r="F86" s="500">
        <f>Inputs!$F$107</f>
        <v>0.02</v>
      </c>
      <c r="G86" s="500">
        <f>F86+0.005</f>
        <v>2.5000000000000001E-2</v>
      </c>
      <c r="H86" s="500">
        <f>G86+0.005</f>
        <v>3.0000000000000002E-2</v>
      </c>
      <c r="I86" s="478"/>
      <c r="J86" s="478"/>
      <c r="K86" s="520"/>
      <c r="L86" s="500">
        <f>D86</f>
        <v>9.9999999999999985E-3</v>
      </c>
      <c r="M86" s="500">
        <f>E86</f>
        <v>1.4999999999999999E-2</v>
      </c>
      <c r="N86" s="500">
        <f>F86</f>
        <v>0.02</v>
      </c>
      <c r="O86" s="500">
        <f>G86</f>
        <v>2.5000000000000001E-2</v>
      </c>
      <c r="P86" s="500">
        <f>H86</f>
        <v>3.0000000000000002E-2</v>
      </c>
      <c r="Q86" s="478"/>
      <c r="R86" s="478"/>
    </row>
    <row r="87" spans="1:18" ht="15" customHeight="1" outlineLevel="1">
      <c r="A87" s="478"/>
      <c r="B87" s="596" t="s">
        <v>89</v>
      </c>
      <c r="C87" s="500">
        <f>C88-0.01</f>
        <v>9.1377418537084379E-2</v>
      </c>
      <c r="D87" s="501" t="e">
        <f t="dataTable" ref="D87:H91" dt2D="1" dtr="1" r1="O75" r2="O76" ca="1"/>
        <v>#REF!</v>
      </c>
      <c r="E87" s="501" t="e">
        <v>#REF!</v>
      </c>
      <c r="F87" s="501" t="e">
        <v>#REF!</v>
      </c>
      <c r="G87" s="501" t="e">
        <v>#REF!</v>
      </c>
      <c r="H87" s="501" t="e">
        <v>#REF!</v>
      </c>
      <c r="I87" s="478"/>
      <c r="J87" s="596" t="s">
        <v>89</v>
      </c>
      <c r="K87" s="500">
        <f>C87</f>
        <v>9.1377418537084379E-2</v>
      </c>
      <c r="L87" s="522" t="e">
        <f>D100/$O$78</f>
        <v>#REF!</v>
      </c>
      <c r="M87" s="522" t="e">
        <f t="shared" ref="L87:P91" si="0">E100/$O$78</f>
        <v>#REF!</v>
      </c>
      <c r="N87" s="522" t="e">
        <f t="shared" si="0"/>
        <v>#REF!</v>
      </c>
      <c r="O87" s="522" t="e">
        <f t="shared" si="0"/>
        <v>#REF!</v>
      </c>
      <c r="P87" s="522" t="e">
        <f t="shared" si="0"/>
        <v>#REF!</v>
      </c>
      <c r="Q87" s="478"/>
      <c r="R87" s="478"/>
    </row>
    <row r="88" spans="1:18" ht="15" customHeight="1" outlineLevel="1">
      <c r="A88" s="478"/>
      <c r="B88" s="596"/>
      <c r="C88" s="500">
        <f>C89-0.01</f>
        <v>0.10137741853708437</v>
      </c>
      <c r="D88" s="501" t="e">
        <v>#REF!</v>
      </c>
      <c r="E88" s="501" t="e">
        <v>#REF!</v>
      </c>
      <c r="F88" s="501" t="e">
        <v>#REF!</v>
      </c>
      <c r="G88" s="501" t="e">
        <v>#REF!</v>
      </c>
      <c r="H88" s="501" t="e">
        <v>#REF!</v>
      </c>
      <c r="I88" s="478"/>
      <c r="J88" s="596"/>
      <c r="K88" s="500">
        <f t="shared" ref="K88:K91" si="1">C88</f>
        <v>0.10137741853708437</v>
      </c>
      <c r="L88" s="522" t="e">
        <f t="shared" si="0"/>
        <v>#REF!</v>
      </c>
      <c r="M88" s="522" t="e">
        <f t="shared" si="0"/>
        <v>#REF!</v>
      </c>
      <c r="N88" s="522" t="e">
        <f t="shared" si="0"/>
        <v>#REF!</v>
      </c>
      <c r="O88" s="522" t="e">
        <f t="shared" si="0"/>
        <v>#REF!</v>
      </c>
      <c r="P88" s="522" t="e">
        <f t="shared" si="0"/>
        <v>#REF!</v>
      </c>
      <c r="Q88" s="478"/>
      <c r="R88" s="478"/>
    </row>
    <row r="89" spans="1:18" ht="15" customHeight="1" outlineLevel="1">
      <c r="A89" s="478"/>
      <c r="B89" s="596"/>
      <c r="C89" s="500">
        <f>Inputs!$L$84</f>
        <v>0.11137741853708437</v>
      </c>
      <c r="D89" s="501" t="e">
        <v>#REF!</v>
      </c>
      <c r="E89" s="501" t="e">
        <v>#REF!</v>
      </c>
      <c r="F89" s="523" t="e">
        <v>#REF!</v>
      </c>
      <c r="G89" s="501" t="e">
        <v>#REF!</v>
      </c>
      <c r="H89" s="501" t="e">
        <v>#REF!</v>
      </c>
      <c r="I89" s="478"/>
      <c r="J89" s="596"/>
      <c r="K89" s="500">
        <f t="shared" si="1"/>
        <v>0.11137741853708437</v>
      </c>
      <c r="L89" s="522" t="e">
        <f t="shared" si="0"/>
        <v>#REF!</v>
      </c>
      <c r="M89" s="522" t="e">
        <f t="shared" si="0"/>
        <v>#REF!</v>
      </c>
      <c r="N89" s="524" t="e">
        <f t="shared" si="0"/>
        <v>#REF!</v>
      </c>
      <c r="O89" s="522" t="e">
        <f t="shared" si="0"/>
        <v>#REF!</v>
      </c>
      <c r="P89" s="522" t="e">
        <f t="shared" si="0"/>
        <v>#REF!</v>
      </c>
      <c r="Q89" s="478"/>
      <c r="R89" s="478"/>
    </row>
    <row r="90" spans="1:18" ht="15" customHeight="1" outlineLevel="1">
      <c r="A90" s="478"/>
      <c r="B90" s="596"/>
      <c r="C90" s="500">
        <f>C89+0.01</f>
        <v>0.12137741853708436</v>
      </c>
      <c r="D90" s="501" t="e">
        <v>#REF!</v>
      </c>
      <c r="E90" s="501" t="e">
        <v>#REF!</v>
      </c>
      <c r="F90" s="501" t="e">
        <v>#REF!</v>
      </c>
      <c r="G90" s="501" t="e">
        <v>#REF!</v>
      </c>
      <c r="H90" s="501" t="e">
        <v>#REF!</v>
      </c>
      <c r="I90" s="478"/>
      <c r="J90" s="596"/>
      <c r="K90" s="500">
        <f t="shared" si="1"/>
        <v>0.12137741853708436</v>
      </c>
      <c r="L90" s="522" t="e">
        <f t="shared" si="0"/>
        <v>#REF!</v>
      </c>
      <c r="M90" s="522" t="e">
        <f t="shared" si="0"/>
        <v>#REF!</v>
      </c>
      <c r="N90" s="522" t="e">
        <f t="shared" si="0"/>
        <v>#REF!</v>
      </c>
      <c r="O90" s="522" t="e">
        <f t="shared" si="0"/>
        <v>#REF!</v>
      </c>
      <c r="P90" s="522" t="e">
        <f t="shared" si="0"/>
        <v>#REF!</v>
      </c>
      <c r="Q90" s="478"/>
      <c r="R90" s="478"/>
    </row>
    <row r="91" spans="1:18" ht="15" customHeight="1" outlineLevel="1">
      <c r="A91" s="478"/>
      <c r="B91" s="596"/>
      <c r="C91" s="500">
        <f>C90+0.01</f>
        <v>0.13137741853708437</v>
      </c>
      <c r="D91" s="501" t="e">
        <v>#REF!</v>
      </c>
      <c r="E91" s="501" t="e">
        <v>#REF!</v>
      </c>
      <c r="F91" s="501" t="e">
        <v>#REF!</v>
      </c>
      <c r="G91" s="501" t="e">
        <v>#REF!</v>
      </c>
      <c r="H91" s="501" t="e">
        <v>#REF!</v>
      </c>
      <c r="I91" s="478"/>
      <c r="J91" s="596"/>
      <c r="K91" s="500">
        <f t="shared" si="1"/>
        <v>0.13137741853708437</v>
      </c>
      <c r="L91" s="522" t="e">
        <f t="shared" si="0"/>
        <v>#REF!</v>
      </c>
      <c r="M91" s="522" t="e">
        <f t="shared" si="0"/>
        <v>#REF!</v>
      </c>
      <c r="N91" s="522" t="e">
        <f t="shared" si="0"/>
        <v>#REF!</v>
      </c>
      <c r="O91" s="522" t="e">
        <f t="shared" si="0"/>
        <v>#REF!</v>
      </c>
      <c r="P91" s="522" t="e">
        <f t="shared" si="0"/>
        <v>#REF!</v>
      </c>
      <c r="Q91" s="478"/>
      <c r="R91" s="478"/>
    </row>
    <row r="92" spans="1:18" ht="15" customHeight="1" outlineLevel="1">
      <c r="A92" s="478"/>
      <c r="B92" s="478"/>
      <c r="C92" s="478"/>
      <c r="D92" s="478"/>
      <c r="E92" s="478"/>
      <c r="F92" s="478"/>
      <c r="G92" s="478"/>
      <c r="H92" s="478"/>
      <c r="I92" s="478"/>
      <c r="J92" s="478"/>
      <c r="K92" s="478"/>
      <c r="L92" s="478"/>
      <c r="M92" s="478"/>
      <c r="N92" s="478"/>
      <c r="O92" s="478"/>
      <c r="P92" s="478"/>
      <c r="Q92" s="478"/>
      <c r="R92" s="478"/>
    </row>
    <row r="93" spans="1:18" ht="15" customHeight="1" outlineLevel="1">
      <c r="A93" s="478"/>
      <c r="B93" s="478"/>
      <c r="C93" s="478"/>
      <c r="D93" s="478"/>
      <c r="E93" s="478"/>
      <c r="F93" s="478"/>
      <c r="G93" s="478"/>
      <c r="H93" s="478"/>
      <c r="I93" s="478"/>
      <c r="J93" s="478"/>
      <c r="K93" s="478"/>
      <c r="L93" s="518"/>
      <c r="M93" s="506"/>
      <c r="N93" s="506"/>
      <c r="O93" s="506"/>
      <c r="P93" s="506"/>
      <c r="Q93" s="478"/>
      <c r="R93" s="478"/>
    </row>
    <row r="94" spans="1:18" ht="15" customHeight="1" outlineLevel="1">
      <c r="A94" s="478"/>
      <c r="B94" s="478"/>
      <c r="C94" s="478"/>
      <c r="D94" s="478"/>
      <c r="E94" s="478"/>
      <c r="F94" s="478"/>
      <c r="G94" s="478"/>
      <c r="H94" s="478"/>
      <c r="I94" s="478"/>
      <c r="J94" s="478"/>
      <c r="K94" s="478"/>
      <c r="L94" s="478"/>
      <c r="M94" s="478"/>
      <c r="N94" s="478"/>
      <c r="O94" s="478"/>
      <c r="P94" s="478"/>
      <c r="Q94" s="478"/>
      <c r="R94" s="478"/>
    </row>
    <row r="95" spans="1:18" ht="15" customHeight="1" outlineLevel="1">
      <c r="A95" s="478"/>
      <c r="B95" s="478"/>
      <c r="C95" s="478"/>
      <c r="D95" s="478"/>
      <c r="E95" s="478"/>
      <c r="F95" s="478"/>
      <c r="G95" s="478"/>
      <c r="H95" s="478"/>
      <c r="I95" s="478"/>
      <c r="J95" s="478"/>
      <c r="K95" s="478"/>
      <c r="L95" s="478"/>
      <c r="M95" s="478"/>
      <c r="N95" s="478"/>
      <c r="O95" s="478"/>
      <c r="P95" s="478"/>
      <c r="Q95" s="478"/>
      <c r="R95" s="478"/>
    </row>
    <row r="96" spans="1:18" ht="15" customHeight="1" outlineLevel="1">
      <c r="A96" s="478"/>
      <c r="B96" s="478"/>
      <c r="C96" s="478"/>
      <c r="D96" s="518" t="s">
        <v>111</v>
      </c>
      <c r="E96" s="506"/>
      <c r="F96" s="506"/>
      <c r="G96" s="506"/>
      <c r="H96" s="506"/>
      <c r="I96" s="478"/>
      <c r="J96" s="478"/>
      <c r="K96" s="478"/>
      <c r="L96" s="518" t="s">
        <v>147</v>
      </c>
      <c r="M96" s="506"/>
      <c r="N96" s="506"/>
      <c r="O96" s="506"/>
      <c r="P96" s="506"/>
      <c r="Q96" s="478"/>
      <c r="R96" s="478"/>
    </row>
    <row r="97" spans="1:18" ht="15" customHeight="1" outlineLevel="1">
      <c r="A97" s="478"/>
      <c r="B97" s="478"/>
      <c r="C97" s="478"/>
      <c r="D97" s="478"/>
      <c r="E97" s="478"/>
      <c r="F97" s="478"/>
      <c r="G97" s="478"/>
      <c r="H97" s="478"/>
      <c r="I97" s="478"/>
      <c r="J97" s="478"/>
      <c r="K97" s="478"/>
      <c r="L97" s="478"/>
      <c r="M97" s="478"/>
      <c r="N97" s="478"/>
      <c r="O97" s="478"/>
      <c r="P97" s="478"/>
      <c r="Q97" s="478"/>
      <c r="R97" s="478"/>
    </row>
    <row r="98" spans="1:18" ht="15" customHeight="1" outlineLevel="1">
      <c r="A98" s="478"/>
      <c r="B98" s="495"/>
      <c r="C98" s="495"/>
      <c r="D98" s="519" t="s">
        <v>83</v>
      </c>
      <c r="E98" s="506"/>
      <c r="F98" s="506"/>
      <c r="G98" s="506"/>
      <c r="H98" s="506"/>
      <c r="I98" s="495"/>
      <c r="J98" s="495"/>
      <c r="K98" s="495"/>
      <c r="L98" s="519" t="s">
        <v>83</v>
      </c>
      <c r="M98" s="506"/>
      <c r="N98" s="506"/>
      <c r="O98" s="506"/>
      <c r="P98" s="506"/>
      <c r="Q98" s="478"/>
      <c r="R98" s="478"/>
    </row>
    <row r="99" spans="1:18" ht="15" customHeight="1" outlineLevel="1">
      <c r="A99" s="478"/>
      <c r="B99" s="478"/>
      <c r="C99" s="525"/>
      <c r="D99" s="500">
        <f>D86</f>
        <v>9.9999999999999985E-3</v>
      </c>
      <c r="E99" s="500">
        <f>E86</f>
        <v>1.4999999999999999E-2</v>
      </c>
      <c r="F99" s="500">
        <f>F86</f>
        <v>0.02</v>
      </c>
      <c r="G99" s="500">
        <f>G86</f>
        <v>2.5000000000000001E-2</v>
      </c>
      <c r="H99" s="500">
        <f>H86</f>
        <v>3.0000000000000002E-2</v>
      </c>
      <c r="I99" s="478"/>
      <c r="J99" s="478"/>
      <c r="K99" s="525"/>
      <c r="L99" s="500">
        <f>D99</f>
        <v>9.9999999999999985E-3</v>
      </c>
      <c r="M99" s="500">
        <f t="shared" ref="M99:P99" si="2">E99</f>
        <v>1.4999999999999999E-2</v>
      </c>
      <c r="N99" s="500">
        <f t="shared" si="2"/>
        <v>0.02</v>
      </c>
      <c r="O99" s="500">
        <f t="shared" si="2"/>
        <v>2.5000000000000001E-2</v>
      </c>
      <c r="P99" s="500">
        <f t="shared" si="2"/>
        <v>3.0000000000000002E-2</v>
      </c>
      <c r="Q99" s="478"/>
      <c r="R99" s="478"/>
    </row>
    <row r="100" spans="1:18" ht="15" customHeight="1" outlineLevel="1">
      <c r="A100" s="478"/>
      <c r="B100" s="596" t="s">
        <v>89</v>
      </c>
      <c r="C100" s="500">
        <f>C87</f>
        <v>9.1377418537084379E-2</v>
      </c>
      <c r="D100" s="501" t="e">
        <f>D87-$O$77</f>
        <v>#REF!</v>
      </c>
      <c r="E100" s="501" t="e">
        <f t="shared" ref="D100:H104" si="3">E87-$O$77</f>
        <v>#REF!</v>
      </c>
      <c r="F100" s="501" t="e">
        <f t="shared" si="3"/>
        <v>#REF!</v>
      </c>
      <c r="G100" s="501" t="e">
        <f t="shared" si="3"/>
        <v>#REF!</v>
      </c>
      <c r="H100" s="501" t="e">
        <f t="shared" si="3"/>
        <v>#REF!</v>
      </c>
      <c r="I100" s="478"/>
      <c r="J100" s="596" t="s">
        <v>89</v>
      </c>
      <c r="K100" s="500">
        <f>C100</f>
        <v>9.1377418537084379E-2</v>
      </c>
      <c r="L100" s="526" t="e">
        <f>L87/$O$79-1</f>
        <v>#REF!</v>
      </c>
      <c r="M100" s="526" t="e">
        <f t="shared" ref="L100:P104" si="4">M87/$O$79-1</f>
        <v>#REF!</v>
      </c>
      <c r="N100" s="526" t="e">
        <f t="shared" si="4"/>
        <v>#REF!</v>
      </c>
      <c r="O100" s="526" t="e">
        <f t="shared" si="4"/>
        <v>#REF!</v>
      </c>
      <c r="P100" s="526" t="e">
        <f t="shared" si="4"/>
        <v>#REF!</v>
      </c>
      <c r="Q100" s="478"/>
      <c r="R100" s="478"/>
    </row>
    <row r="101" spans="1:18" ht="15" customHeight="1" outlineLevel="1">
      <c r="A101" s="478"/>
      <c r="B101" s="596"/>
      <c r="C101" s="500">
        <f t="shared" ref="C101:C104" si="5">C88</f>
        <v>0.10137741853708437</v>
      </c>
      <c r="D101" s="501" t="e">
        <f t="shared" si="3"/>
        <v>#REF!</v>
      </c>
      <c r="E101" s="501" t="e">
        <f t="shared" si="3"/>
        <v>#REF!</v>
      </c>
      <c r="F101" s="501" t="e">
        <f t="shared" si="3"/>
        <v>#REF!</v>
      </c>
      <c r="G101" s="501" t="e">
        <f t="shared" si="3"/>
        <v>#REF!</v>
      </c>
      <c r="H101" s="501" t="e">
        <f t="shared" si="3"/>
        <v>#REF!</v>
      </c>
      <c r="I101" s="478"/>
      <c r="J101" s="596"/>
      <c r="K101" s="500">
        <f t="shared" ref="K101:K104" si="6">C101</f>
        <v>0.10137741853708437</v>
      </c>
      <c r="L101" s="526" t="e">
        <f t="shared" si="4"/>
        <v>#REF!</v>
      </c>
      <c r="M101" s="526" t="e">
        <f t="shared" si="4"/>
        <v>#REF!</v>
      </c>
      <c r="N101" s="526" t="e">
        <f t="shared" si="4"/>
        <v>#REF!</v>
      </c>
      <c r="O101" s="526" t="e">
        <f t="shared" si="4"/>
        <v>#REF!</v>
      </c>
      <c r="P101" s="526" t="e">
        <f t="shared" si="4"/>
        <v>#REF!</v>
      </c>
      <c r="Q101" s="478"/>
      <c r="R101" s="478"/>
    </row>
    <row r="102" spans="1:18" ht="15" customHeight="1" outlineLevel="1">
      <c r="A102" s="478"/>
      <c r="B102" s="596"/>
      <c r="C102" s="500">
        <f t="shared" si="5"/>
        <v>0.11137741853708437</v>
      </c>
      <c r="D102" s="501" t="e">
        <f t="shared" si="3"/>
        <v>#REF!</v>
      </c>
      <c r="E102" s="501" t="e">
        <f t="shared" si="3"/>
        <v>#REF!</v>
      </c>
      <c r="F102" s="523" t="e">
        <f t="shared" si="3"/>
        <v>#REF!</v>
      </c>
      <c r="G102" s="501" t="e">
        <f t="shared" si="3"/>
        <v>#REF!</v>
      </c>
      <c r="H102" s="501" t="e">
        <f t="shared" si="3"/>
        <v>#REF!</v>
      </c>
      <c r="I102" s="478"/>
      <c r="J102" s="596"/>
      <c r="K102" s="500">
        <f t="shared" si="6"/>
        <v>0.11137741853708437</v>
      </c>
      <c r="L102" s="526" t="e">
        <f t="shared" si="4"/>
        <v>#REF!</v>
      </c>
      <c r="M102" s="526" t="e">
        <f t="shared" si="4"/>
        <v>#REF!</v>
      </c>
      <c r="N102" s="527" t="e">
        <f t="shared" si="4"/>
        <v>#REF!</v>
      </c>
      <c r="O102" s="526" t="e">
        <f t="shared" si="4"/>
        <v>#REF!</v>
      </c>
      <c r="P102" s="526" t="e">
        <f t="shared" si="4"/>
        <v>#REF!</v>
      </c>
      <c r="Q102" s="478"/>
      <c r="R102" s="478"/>
    </row>
    <row r="103" spans="1:18" ht="15" customHeight="1" outlineLevel="1">
      <c r="A103" s="478"/>
      <c r="B103" s="596"/>
      <c r="C103" s="500">
        <f t="shared" si="5"/>
        <v>0.12137741853708436</v>
      </c>
      <c r="D103" s="501" t="e">
        <f t="shared" si="3"/>
        <v>#REF!</v>
      </c>
      <c r="E103" s="501" t="e">
        <f t="shared" si="3"/>
        <v>#REF!</v>
      </c>
      <c r="F103" s="501" t="e">
        <f t="shared" si="3"/>
        <v>#REF!</v>
      </c>
      <c r="G103" s="501" t="e">
        <f t="shared" si="3"/>
        <v>#REF!</v>
      </c>
      <c r="H103" s="501" t="e">
        <f t="shared" si="3"/>
        <v>#REF!</v>
      </c>
      <c r="I103" s="478"/>
      <c r="J103" s="596"/>
      <c r="K103" s="500">
        <f t="shared" si="6"/>
        <v>0.12137741853708436</v>
      </c>
      <c r="L103" s="526" t="e">
        <f t="shared" si="4"/>
        <v>#REF!</v>
      </c>
      <c r="M103" s="526" t="e">
        <f t="shared" si="4"/>
        <v>#REF!</v>
      </c>
      <c r="N103" s="526" t="e">
        <f t="shared" si="4"/>
        <v>#REF!</v>
      </c>
      <c r="O103" s="526" t="e">
        <f t="shared" si="4"/>
        <v>#REF!</v>
      </c>
      <c r="P103" s="526" t="e">
        <f t="shared" si="4"/>
        <v>#REF!</v>
      </c>
      <c r="Q103" s="478"/>
      <c r="R103" s="478"/>
    </row>
    <row r="104" spans="1:18" ht="15" customHeight="1" outlineLevel="1">
      <c r="A104" s="478"/>
      <c r="B104" s="596"/>
      <c r="C104" s="500">
        <f t="shared" si="5"/>
        <v>0.13137741853708437</v>
      </c>
      <c r="D104" s="501" t="e">
        <f t="shared" si="3"/>
        <v>#REF!</v>
      </c>
      <c r="E104" s="501" t="e">
        <f t="shared" si="3"/>
        <v>#REF!</v>
      </c>
      <c r="F104" s="501" t="e">
        <f t="shared" si="3"/>
        <v>#REF!</v>
      </c>
      <c r="G104" s="501" t="e">
        <f t="shared" si="3"/>
        <v>#REF!</v>
      </c>
      <c r="H104" s="501" t="e">
        <f t="shared" si="3"/>
        <v>#REF!</v>
      </c>
      <c r="I104" s="478"/>
      <c r="J104" s="596"/>
      <c r="K104" s="500">
        <f t="shared" si="6"/>
        <v>0.13137741853708437</v>
      </c>
      <c r="L104" s="526" t="e">
        <f t="shared" si="4"/>
        <v>#REF!</v>
      </c>
      <c r="M104" s="526" t="e">
        <f t="shared" si="4"/>
        <v>#REF!</v>
      </c>
      <c r="N104" s="526" t="e">
        <f t="shared" si="4"/>
        <v>#REF!</v>
      </c>
      <c r="O104" s="526" t="e">
        <f t="shared" si="4"/>
        <v>#REF!</v>
      </c>
      <c r="P104" s="526" t="e">
        <f t="shared" si="4"/>
        <v>#REF!</v>
      </c>
      <c r="Q104" s="478"/>
      <c r="R104" s="478"/>
    </row>
    <row r="105" spans="1:18" ht="15" customHeight="1" outlineLevel="1">
      <c r="A105" s="478"/>
      <c r="B105" s="521"/>
      <c r="C105" s="500"/>
      <c r="D105" s="502"/>
      <c r="E105" s="502"/>
      <c r="F105" s="502"/>
      <c r="G105" s="502"/>
      <c r="H105" s="502"/>
      <c r="I105" s="478"/>
      <c r="J105" s="521"/>
      <c r="K105" s="500"/>
      <c r="L105" s="503"/>
      <c r="M105" s="503"/>
      <c r="N105" s="503"/>
      <c r="O105" s="503"/>
      <c r="P105" s="503"/>
      <c r="Q105" s="478"/>
      <c r="R105" s="478"/>
    </row>
    <row r="106" spans="1:18" ht="15" customHeight="1" outlineLevel="1">
      <c r="A106" s="478"/>
      <c r="B106" s="521"/>
      <c r="C106" s="500"/>
      <c r="D106" s="502"/>
      <c r="E106" s="502"/>
      <c r="F106" s="502"/>
      <c r="G106" s="502"/>
      <c r="H106" s="502"/>
      <c r="I106" s="478"/>
      <c r="J106" s="521"/>
      <c r="K106" s="500"/>
      <c r="L106" s="503"/>
      <c r="M106" s="503"/>
      <c r="N106" s="503"/>
      <c r="O106" s="503"/>
      <c r="P106" s="528" t="s">
        <v>218</v>
      </c>
      <c r="Q106" s="478"/>
      <c r="R106" s="478"/>
    </row>
    <row r="107" spans="1:18" ht="15" customHeight="1" outlineLevel="1">
      <c r="A107" s="478"/>
      <c r="B107" s="478"/>
      <c r="C107" s="478"/>
      <c r="D107" s="478"/>
      <c r="E107" s="478"/>
      <c r="F107" s="478"/>
      <c r="G107" s="478"/>
      <c r="H107" s="478"/>
      <c r="I107" s="478"/>
      <c r="J107" s="478"/>
      <c r="K107" s="478"/>
      <c r="L107" s="478"/>
      <c r="M107" s="478"/>
      <c r="N107" s="478"/>
      <c r="O107" s="478"/>
      <c r="P107" s="478"/>
      <c r="Q107" s="478"/>
      <c r="R107" s="478"/>
    </row>
    <row r="108" spans="1:18" ht="16.5" customHeight="1" outlineLevel="1">
      <c r="A108" s="478"/>
      <c r="B108" s="478"/>
      <c r="C108" s="478"/>
      <c r="D108" s="478"/>
      <c r="E108" s="478"/>
      <c r="F108" s="478"/>
      <c r="G108" s="478"/>
      <c r="H108" s="478"/>
      <c r="I108" s="478"/>
      <c r="J108" s="478"/>
      <c r="K108" s="478"/>
      <c r="L108" s="478"/>
      <c r="M108" s="478"/>
      <c r="N108" s="478"/>
      <c r="O108" s="478"/>
      <c r="P108" s="478"/>
      <c r="Q108" s="478"/>
      <c r="R108" s="478"/>
    </row>
    <row r="109" spans="1:18" ht="15" customHeight="1">
      <c r="A109" s="478"/>
      <c r="B109" s="478"/>
      <c r="C109" s="478"/>
      <c r="D109" s="478"/>
      <c r="E109" s="478"/>
      <c r="F109" s="478"/>
      <c r="G109" s="478"/>
      <c r="H109" s="478"/>
      <c r="I109" s="478"/>
      <c r="J109" s="478"/>
      <c r="K109" s="478"/>
      <c r="L109" s="478"/>
      <c r="M109" s="478"/>
      <c r="N109" s="478"/>
      <c r="O109" s="478"/>
      <c r="P109" s="478"/>
      <c r="Q109" s="478"/>
      <c r="R109" s="478"/>
    </row>
    <row r="110" spans="1:18" ht="21">
      <c r="A110" s="1"/>
      <c r="B110" s="417" t="s">
        <v>293</v>
      </c>
      <c r="C110" s="413"/>
      <c r="D110" s="414"/>
      <c r="E110" s="414"/>
      <c r="F110" s="415"/>
      <c r="G110" s="415"/>
      <c r="H110" s="415"/>
      <c r="I110" s="415"/>
      <c r="J110" s="415"/>
      <c r="K110" s="415"/>
      <c r="L110" s="418"/>
      <c r="M110" s="415"/>
      <c r="N110" s="416"/>
      <c r="O110" s="415"/>
      <c r="P110" s="416"/>
      <c r="Q110" s="105"/>
      <c r="R110" s="9"/>
    </row>
    <row r="111" spans="1:18" hidden="1" outlineLevel="1">
      <c r="A111" s="478"/>
      <c r="B111" s="478"/>
      <c r="C111" s="478"/>
      <c r="D111" s="478"/>
      <c r="E111" s="478"/>
      <c r="F111" s="478"/>
      <c r="G111" s="478"/>
      <c r="H111" s="478"/>
      <c r="I111" s="478"/>
      <c r="J111" s="478"/>
      <c r="K111" s="478"/>
      <c r="L111" s="478"/>
      <c r="M111" s="478"/>
      <c r="N111" s="478"/>
      <c r="O111" s="478"/>
      <c r="P111" s="478"/>
      <c r="Q111" s="478"/>
      <c r="R111" s="478"/>
    </row>
    <row r="112" spans="1:18" hidden="1" outlineLevel="1">
      <c r="A112" s="478"/>
      <c r="B112" s="478"/>
      <c r="C112" s="478"/>
      <c r="D112" s="478"/>
      <c r="E112" s="478"/>
      <c r="G112" s="478"/>
      <c r="H112" s="478"/>
      <c r="I112" s="478"/>
      <c r="J112" s="478"/>
      <c r="K112" s="478"/>
      <c r="L112" s="478"/>
      <c r="M112" s="478"/>
      <c r="N112" s="478"/>
      <c r="O112" s="478"/>
      <c r="P112" s="478"/>
      <c r="Q112" s="478"/>
      <c r="R112" s="478"/>
    </row>
    <row r="113" spans="1:17" hidden="1" outlineLevel="1">
      <c r="A113" s="478"/>
      <c r="B113" s="478"/>
      <c r="C113" s="549"/>
      <c r="D113" s="551"/>
      <c r="E113" s="551"/>
      <c r="H113" s="568"/>
      <c r="I113" s="568" t="s">
        <v>294</v>
      </c>
      <c r="J113" s="568"/>
      <c r="K113" s="568"/>
      <c r="L113" s="478"/>
      <c r="M113" s="478"/>
      <c r="N113" s="478"/>
      <c r="O113" s="478"/>
      <c r="P113" s="478"/>
      <c r="Q113" s="478"/>
    </row>
    <row r="114" spans="1:17" hidden="1" outlineLevel="1">
      <c r="A114" s="478"/>
      <c r="B114" s="478"/>
      <c r="C114" s="568"/>
      <c r="D114" s="568" t="s">
        <v>295</v>
      </c>
      <c r="E114" s="568" t="s">
        <v>296</v>
      </c>
      <c r="F114" s="568" t="s">
        <v>297</v>
      </c>
      <c r="H114" s="568" t="s">
        <v>145</v>
      </c>
      <c r="I114" s="568" t="s">
        <v>299</v>
      </c>
      <c r="J114" s="568" t="s">
        <v>320</v>
      </c>
      <c r="K114" s="568" t="s">
        <v>310</v>
      </c>
      <c r="L114" s="478"/>
      <c r="M114" s="565"/>
      <c r="N114" s="566" t="s">
        <v>297</v>
      </c>
      <c r="O114" s="478"/>
      <c r="P114" s="478"/>
      <c r="Q114" s="478"/>
    </row>
    <row r="115" spans="1:17" hidden="1" outlineLevel="1">
      <c r="C115" s="569"/>
      <c r="D115" s="569"/>
      <c r="E115" s="569"/>
      <c r="F115" s="569"/>
      <c r="H115" s="569"/>
      <c r="I115" s="569"/>
      <c r="J115" s="569"/>
      <c r="K115" s="569"/>
      <c r="M115" s="568" t="s">
        <v>320</v>
      </c>
      <c r="N115" s="564">
        <f>J126/K126</f>
        <v>-3.5</v>
      </c>
    </row>
    <row r="116" spans="1:17" hidden="1" outlineLevel="1">
      <c r="C116" s="570" t="s">
        <v>298</v>
      </c>
      <c r="D116" s="571">
        <f>Model!F16</f>
        <v>800000</v>
      </c>
      <c r="E116" s="571">
        <f>Model!G16</f>
        <v>600000</v>
      </c>
      <c r="F116" s="572">
        <f>E116/D116-1</f>
        <v>-0.25</v>
      </c>
      <c r="H116" s="585">
        <f>E116-D116</f>
        <v>-200000</v>
      </c>
      <c r="I116" s="586">
        <f>H117*E116/1000</f>
        <v>90000</v>
      </c>
      <c r="J116" s="585">
        <f>H116*D117/1000</f>
        <v>-100000</v>
      </c>
      <c r="K116" s="585">
        <f>I116+J116</f>
        <v>-10000</v>
      </c>
      <c r="M116" s="568" t="s">
        <v>299</v>
      </c>
      <c r="N116" s="564">
        <f>I126/K126</f>
        <v>4.5</v>
      </c>
    </row>
    <row r="117" spans="1:17" hidden="1" outlineLevel="1">
      <c r="C117" s="570" t="s">
        <v>299</v>
      </c>
      <c r="D117" s="571">
        <f>Model!F32</f>
        <v>500</v>
      </c>
      <c r="E117" s="571">
        <f>Model!G32</f>
        <v>650</v>
      </c>
      <c r="F117" s="572">
        <f>E117/D117-1</f>
        <v>0.30000000000000004</v>
      </c>
      <c r="H117" s="585">
        <f>E117-D117</f>
        <v>150</v>
      </c>
      <c r="I117" s="587"/>
      <c r="J117" s="587"/>
      <c r="K117" s="587"/>
      <c r="M117" s="566" t="s">
        <v>310</v>
      </c>
      <c r="N117" s="567">
        <f>SUM(N115:N116)</f>
        <v>1</v>
      </c>
    </row>
    <row r="118" spans="1:17" hidden="1" outlineLevel="1">
      <c r="C118" s="573" t="s">
        <v>0</v>
      </c>
      <c r="D118" s="574">
        <f>Model!F93</f>
        <v>400000</v>
      </c>
      <c r="E118" s="574">
        <f>Model!G93</f>
        <v>390000</v>
      </c>
      <c r="F118" s="575">
        <f>E118/D118-1</f>
        <v>-2.5000000000000022E-2</v>
      </c>
      <c r="H118" s="588">
        <f>E118-D118</f>
        <v>-10000</v>
      </c>
      <c r="I118" s="589"/>
      <c r="J118" s="589"/>
      <c r="K118" s="589"/>
    </row>
    <row r="119" spans="1:17" hidden="1" outlineLevel="1">
      <c r="C119" s="570"/>
      <c r="D119" s="570"/>
      <c r="E119" s="570"/>
      <c r="F119" s="570"/>
      <c r="H119" s="590"/>
      <c r="I119" s="587"/>
      <c r="J119" s="569"/>
      <c r="K119" s="569"/>
    </row>
    <row r="120" spans="1:17" hidden="1" outlineLevel="1">
      <c r="C120" s="570" t="s">
        <v>21</v>
      </c>
      <c r="D120" s="571">
        <f>Model!F54</f>
        <v>288000</v>
      </c>
      <c r="E120" s="571">
        <f>Model!G54</f>
        <v>270000</v>
      </c>
      <c r="F120" s="572">
        <f>E120/D120-1</f>
        <v>-6.25E-2</v>
      </c>
      <c r="H120" s="585">
        <f>E120-D120</f>
        <v>-18000</v>
      </c>
      <c r="I120" s="587">
        <f>H121*E116/1000</f>
        <v>54000</v>
      </c>
      <c r="J120" s="585">
        <f>H116*D121/1000</f>
        <v>-72000</v>
      </c>
      <c r="K120" s="585">
        <f>I120+J120</f>
        <v>-18000</v>
      </c>
    </row>
    <row r="121" spans="1:17" hidden="1" outlineLevel="1">
      <c r="C121" s="570" t="s">
        <v>300</v>
      </c>
      <c r="D121" s="576">
        <v>360</v>
      </c>
      <c r="E121" s="577">
        <v>450</v>
      </c>
      <c r="F121" s="572">
        <f>E121/D121-1</f>
        <v>0.25</v>
      </c>
      <c r="H121" s="585">
        <f>E121-D121</f>
        <v>90</v>
      </c>
      <c r="I121" s="587"/>
      <c r="J121" s="569"/>
      <c r="K121" s="569"/>
    </row>
    <row r="122" spans="1:17" hidden="1" outlineLevel="1">
      <c r="C122" s="570"/>
      <c r="D122" s="570"/>
      <c r="E122" s="570"/>
      <c r="F122" s="578"/>
      <c r="H122" s="590"/>
      <c r="I122" s="587"/>
      <c r="J122" s="569"/>
      <c r="K122" s="569"/>
    </row>
    <row r="123" spans="1:17" hidden="1" outlineLevel="1">
      <c r="C123" s="570" t="s">
        <v>22</v>
      </c>
      <c r="D123" s="571">
        <f>Model!F78</f>
        <v>85000</v>
      </c>
      <c r="E123" s="571">
        <f>Model!G78</f>
        <v>85000</v>
      </c>
      <c r="F123" s="572">
        <f>E123/D123-1</f>
        <v>0</v>
      </c>
      <c r="H123" s="585">
        <f>E123-D123</f>
        <v>0</v>
      </c>
      <c r="I123" s="587">
        <f>H123*-1</f>
        <v>0</v>
      </c>
      <c r="J123" s="569"/>
      <c r="K123" s="569"/>
    </row>
    <row r="124" spans="1:17" hidden="1" outlineLevel="1">
      <c r="C124" s="570" t="s">
        <v>300</v>
      </c>
      <c r="D124" s="579">
        <f>D123/D116</f>
        <v>0.10625</v>
      </c>
      <c r="E124" s="579">
        <f>E123/E116</f>
        <v>0.14166666666666666</v>
      </c>
      <c r="F124" s="572">
        <f>E124/D124-1</f>
        <v>0.33333333333333326</v>
      </c>
      <c r="H124" s="585">
        <f>E124-D124</f>
        <v>3.5416666666666666E-2</v>
      </c>
      <c r="I124" s="587"/>
      <c r="J124" s="569"/>
      <c r="K124" s="569"/>
    </row>
    <row r="125" spans="1:17" hidden="1" outlineLevel="1">
      <c r="C125" s="570"/>
      <c r="D125" s="579"/>
      <c r="E125" s="579"/>
      <c r="F125" s="572"/>
      <c r="H125" s="585"/>
      <c r="I125" s="587"/>
      <c r="J125" s="587"/>
      <c r="K125" s="587"/>
    </row>
    <row r="126" spans="1:17" hidden="1" outlineLevel="1">
      <c r="C126" s="580" t="s">
        <v>301</v>
      </c>
      <c r="D126" s="581">
        <f>Model!F113</f>
        <v>25680</v>
      </c>
      <c r="E126" s="581">
        <f>Model!G113</f>
        <v>33680</v>
      </c>
      <c r="F126" s="582">
        <f>E126/D126-1</f>
        <v>0.31152647975077885</v>
      </c>
      <c r="H126" s="591">
        <f>E126-D126</f>
        <v>8000</v>
      </c>
      <c r="I126" s="592">
        <f>I116-I120</f>
        <v>36000</v>
      </c>
      <c r="J126" s="592">
        <f>J116-J120</f>
        <v>-28000</v>
      </c>
      <c r="K126" s="592">
        <f>K116-K120</f>
        <v>8000</v>
      </c>
    </row>
    <row r="127" spans="1:17" hidden="1" outlineLevel="1">
      <c r="C127" s="570" t="s">
        <v>300</v>
      </c>
      <c r="D127" s="583">
        <f>D126/D116</f>
        <v>3.2099999999999997E-2</v>
      </c>
      <c r="E127" s="583">
        <f>E126/E116</f>
        <v>5.6133333333333334E-2</v>
      </c>
      <c r="F127" s="584">
        <f>E127/D127-1</f>
        <v>0.74870197300103869</v>
      </c>
      <c r="H127" s="553">
        <f>E127-D127</f>
        <v>2.4033333333333337E-2</v>
      </c>
    </row>
    <row r="128" spans="1:17" hidden="1" outlineLevel="1">
      <c r="C128" s="570"/>
      <c r="D128" s="583"/>
      <c r="E128" s="583"/>
      <c r="F128" s="584"/>
      <c r="H128" s="553"/>
    </row>
    <row r="129" spans="3:11" hidden="1" outlineLevel="1">
      <c r="C129" s="570"/>
      <c r="D129" s="583"/>
      <c r="E129" s="583"/>
      <c r="F129" s="584"/>
      <c r="H129" s="553"/>
    </row>
    <row r="130" spans="3:11" hidden="1" outlineLevel="1">
      <c r="C130" s="570"/>
      <c r="D130" s="583"/>
      <c r="E130" s="583"/>
      <c r="F130" s="584"/>
      <c r="H130" s="553"/>
    </row>
    <row r="131" spans="3:11" hidden="1" outlineLevel="1">
      <c r="C131" s="593" t="s">
        <v>321</v>
      </c>
      <c r="D131" s="594"/>
      <c r="E131"/>
      <c r="F131"/>
      <c r="G131"/>
      <c r="H131"/>
      <c r="I131"/>
      <c r="J131"/>
      <c r="K131"/>
    </row>
    <row r="132" spans="3:11" hidden="1" outlineLevel="1">
      <c r="C132" t="s">
        <v>295</v>
      </c>
      <c r="D132" s="552">
        <f>D126</f>
        <v>25680</v>
      </c>
      <c r="E132"/>
      <c r="F132"/>
      <c r="G132"/>
      <c r="H132"/>
      <c r="I132"/>
    </row>
    <row r="133" spans="3:11" hidden="1" outlineLevel="1">
      <c r="C133" t="s">
        <v>298</v>
      </c>
      <c r="D133" s="552">
        <f>J116</f>
        <v>-100000</v>
      </c>
      <c r="E133"/>
      <c r="F133"/>
      <c r="G133"/>
      <c r="H133"/>
      <c r="I133"/>
    </row>
    <row r="134" spans="3:11" hidden="1" outlineLevel="1">
      <c r="C134" t="s">
        <v>299</v>
      </c>
      <c r="D134" s="552">
        <f>I116</f>
        <v>90000</v>
      </c>
      <c r="E134"/>
      <c r="F134"/>
      <c r="G134"/>
      <c r="H134"/>
      <c r="I134"/>
    </row>
    <row r="135" spans="3:11" hidden="1" outlineLevel="1">
      <c r="C135" t="s">
        <v>21</v>
      </c>
      <c r="D135" s="552">
        <f>-K120</f>
        <v>18000</v>
      </c>
      <c r="E135"/>
      <c r="F135"/>
      <c r="G135"/>
      <c r="H135"/>
      <c r="I135"/>
    </row>
    <row r="136" spans="3:11" hidden="1" outlineLevel="1">
      <c r="C136" t="s">
        <v>22</v>
      </c>
      <c r="D136" s="552"/>
      <c r="E136"/>
      <c r="F136"/>
      <c r="G136"/>
      <c r="H136"/>
      <c r="I136"/>
    </row>
    <row r="137" spans="3:11" hidden="1" outlineLevel="1">
      <c r="C137" t="s">
        <v>296</v>
      </c>
      <c r="D137" s="595">
        <f>E126</f>
        <v>33680</v>
      </c>
      <c r="E137"/>
      <c r="F137"/>
      <c r="G137"/>
      <c r="H137"/>
      <c r="I137"/>
    </row>
    <row r="138" spans="3:11" hidden="1" outlineLevel="1">
      <c r="C138" s="570"/>
      <c r="D138" s="583"/>
      <c r="E138" s="583"/>
      <c r="F138" s="584"/>
      <c r="H138" s="553"/>
    </row>
    <row r="139" spans="3:11" hidden="1" outlineLevel="1">
      <c r="C139" s="570"/>
      <c r="D139" s="583"/>
      <c r="E139" s="583"/>
      <c r="F139" s="584"/>
      <c r="H139" s="553"/>
    </row>
    <row r="140" spans="3:11" hidden="1" outlineLevel="1">
      <c r="C140" s="570"/>
      <c r="D140" s="583"/>
      <c r="E140" s="583"/>
      <c r="F140" s="584"/>
      <c r="H140" s="553"/>
    </row>
    <row r="141" spans="3:11" hidden="1" outlineLevel="1">
      <c r="C141" s="570"/>
      <c r="D141" s="583"/>
      <c r="E141" s="583"/>
      <c r="F141" s="584"/>
      <c r="H141" s="553"/>
    </row>
    <row r="142" spans="3:11" hidden="1" outlineLevel="1">
      <c r="C142" s="570"/>
      <c r="D142" s="583"/>
      <c r="E142" s="583"/>
      <c r="F142" s="584"/>
      <c r="H142" s="553"/>
    </row>
    <row r="143" spans="3:11" hidden="1" outlineLevel="1">
      <c r="C143" s="570"/>
      <c r="D143" s="583"/>
      <c r="E143" s="583"/>
      <c r="F143" s="584"/>
      <c r="H143" s="553"/>
    </row>
    <row r="144" spans="3:11" collapsed="1"/>
    <row r="145" spans="1:18" ht="21">
      <c r="A145" s="1"/>
      <c r="B145" s="417" t="s">
        <v>303</v>
      </c>
      <c r="C145" s="417"/>
      <c r="D145" s="414"/>
      <c r="E145" s="414"/>
      <c r="F145" s="415"/>
      <c r="G145" s="415"/>
      <c r="H145" s="415"/>
      <c r="I145" s="415"/>
      <c r="J145" s="415"/>
      <c r="K145" s="415"/>
      <c r="L145" s="418"/>
      <c r="M145" s="415"/>
      <c r="N145" s="416"/>
      <c r="O145" s="415"/>
      <c r="P145" s="416"/>
      <c r="Q145" s="105"/>
      <c r="R145" s="9"/>
    </row>
    <row r="146" spans="1:18" hidden="1" outlineLevel="1"/>
    <row r="147" spans="1:18" hidden="1" outlineLevel="1">
      <c r="C147" s="556" t="s">
        <v>313</v>
      </c>
      <c r="D147" s="557">
        <v>1000000</v>
      </c>
    </row>
    <row r="148" spans="1:18" hidden="1" outlineLevel="1">
      <c r="C148" s="558" t="s">
        <v>314</v>
      </c>
      <c r="D148" s="559">
        <v>450</v>
      </c>
    </row>
    <row r="149" spans="1:18" hidden="1" outlineLevel="1"/>
    <row r="150" spans="1:18" hidden="1" outlineLevel="1"/>
    <row r="151" spans="1:18" hidden="1" outlineLevel="1"/>
    <row r="152" spans="1:18" hidden="1" outlineLevel="1"/>
    <row r="153" spans="1:18" hidden="1" outlineLevel="1"/>
    <row r="154" spans="1:18" hidden="1" outlineLevel="1"/>
    <row r="155" spans="1:18" ht="25.5" hidden="1" outlineLevel="1">
      <c r="C155" s="555" t="s">
        <v>304</v>
      </c>
      <c r="D155" s="555" t="s">
        <v>305</v>
      </c>
      <c r="E155" s="560" t="s">
        <v>311</v>
      </c>
      <c r="F155" s="555" t="s">
        <v>306</v>
      </c>
      <c r="G155" s="561" t="s">
        <v>317</v>
      </c>
      <c r="H155" s="555" t="s">
        <v>307</v>
      </c>
      <c r="I155" s="561" t="s">
        <v>312</v>
      </c>
    </row>
    <row r="156" spans="1:18" hidden="1" outlineLevel="1">
      <c r="C156" s="554" t="s">
        <v>308</v>
      </c>
      <c r="D156" s="550">
        <v>600000</v>
      </c>
      <c r="E156" s="562">
        <f>D156/D159</f>
        <v>7.2289156626506021E-2</v>
      </c>
      <c r="F156" s="550">
        <v>600000</v>
      </c>
      <c r="G156" s="562">
        <f>F156/$F$159</f>
        <v>0.1111111111111111</v>
      </c>
      <c r="H156" s="550" t="s">
        <v>309</v>
      </c>
      <c r="I156" s="562">
        <v>0</v>
      </c>
    </row>
    <row r="157" spans="1:18" hidden="1" outlineLevel="1">
      <c r="C157" s="554" t="s">
        <v>233</v>
      </c>
      <c r="D157" s="550">
        <v>4500000</v>
      </c>
      <c r="E157" s="562">
        <f>D157/D159</f>
        <v>0.54216867469879515</v>
      </c>
      <c r="F157" s="550">
        <v>2800000</v>
      </c>
      <c r="G157" s="562">
        <f>F157/$F$159</f>
        <v>0.51851851851851849</v>
      </c>
      <c r="H157" s="550">
        <v>1200000</v>
      </c>
      <c r="I157" s="562">
        <f>H157/$H$159</f>
        <v>0.63157894736842102</v>
      </c>
    </row>
    <row r="158" spans="1:18" hidden="1" outlineLevel="1">
      <c r="C158" s="554" t="s">
        <v>234</v>
      </c>
      <c r="D158" s="550">
        <v>3200000</v>
      </c>
      <c r="E158" s="562">
        <f>D158/D159</f>
        <v>0.38554216867469882</v>
      </c>
      <c r="F158" s="550">
        <v>2000000</v>
      </c>
      <c r="G158" s="562">
        <f>F158/$F$159</f>
        <v>0.37037037037037035</v>
      </c>
      <c r="H158" s="550">
        <v>700000</v>
      </c>
      <c r="I158" s="562">
        <f>H158/$H$159</f>
        <v>0.36842105263157893</v>
      </c>
    </row>
    <row r="159" spans="1:18" hidden="1" outlineLevel="1">
      <c r="C159" s="109" t="s">
        <v>310</v>
      </c>
      <c r="D159" s="550">
        <f>D156+D158+D157</f>
        <v>8300000</v>
      </c>
      <c r="E159" s="562">
        <f>SUM(E156:E158)</f>
        <v>1</v>
      </c>
      <c r="F159" s="550">
        <f>SUM(F156:F158)</f>
        <v>5400000</v>
      </c>
      <c r="G159" s="562">
        <f t="shared" ref="G159:I159" si="7">SUM(G156:G158)</f>
        <v>0.99999999999999989</v>
      </c>
      <c r="H159" s="550">
        <f t="shared" si="7"/>
        <v>1900000</v>
      </c>
      <c r="I159" s="562">
        <f t="shared" si="7"/>
        <v>1</v>
      </c>
    </row>
    <row r="160" spans="1:18" hidden="1" outlineLevel="1"/>
    <row r="161" spans="4:8" hidden="1" outlineLevel="1"/>
    <row r="162" spans="4:8" hidden="1" outlineLevel="1"/>
    <row r="163" spans="4:8" ht="27" hidden="1" outlineLevel="1">
      <c r="D163" s="597" t="s">
        <v>303</v>
      </c>
      <c r="E163" s="597"/>
      <c r="F163" s="597"/>
      <c r="G163" s="597"/>
      <c r="H163" s="597"/>
    </row>
    <row r="164" spans="4:8" ht="18" hidden="1" outlineLevel="1">
      <c r="D164" s="563" t="s">
        <v>316</v>
      </c>
    </row>
    <row r="165" spans="4:8" ht="18" hidden="1" outlineLevel="1">
      <c r="D165" s="563" t="s">
        <v>318</v>
      </c>
    </row>
    <row r="166" spans="4:8" ht="18" hidden="1" outlineLevel="1">
      <c r="D166" s="563" t="s">
        <v>319</v>
      </c>
    </row>
    <row r="167" spans="4:8" hidden="1" outlineLevel="1"/>
    <row r="168" spans="4:8" hidden="1" outlineLevel="1"/>
    <row r="169" spans="4:8" hidden="1" outlineLevel="1"/>
    <row r="170" spans="4:8" hidden="1" outlineLevel="1"/>
    <row r="171" spans="4:8" hidden="1" outlineLevel="1"/>
    <row r="172" spans="4:8" hidden="1" outlineLevel="1"/>
    <row r="173" spans="4:8" hidden="1" outlineLevel="1"/>
    <row r="174" spans="4:8" hidden="1" outlineLevel="1"/>
    <row r="175" spans="4:8" hidden="1" outlineLevel="1"/>
    <row r="176" spans="4:8" hidden="1" outlineLevel="1"/>
    <row r="177" hidden="1" outlineLevel="1"/>
    <row r="178" hidden="1" outlineLevel="1"/>
    <row r="179" hidden="1" outlineLevel="1"/>
    <row r="180" hidden="1" outlineLevel="1"/>
    <row r="181" collapsed="1"/>
  </sheetData>
  <mergeCells count="5">
    <mergeCell ref="B87:B91"/>
    <mergeCell ref="B100:B104"/>
    <mergeCell ref="J87:J91"/>
    <mergeCell ref="J100:J104"/>
    <mergeCell ref="D163:H163"/>
  </mergeCells>
  <conditionalFormatting sqref="F116:F130 E131:K131 F132:F143">
    <cfRule type="cellIs" dxfId="31" priority="1" operator="lessThan">
      <formula>0</formula>
    </cfRule>
    <cfRule type="cellIs" dxfId="30" priority="2" operator="greaterThan">
      <formula>0</formula>
    </cfRule>
  </conditionalFormatting>
  <conditionalFormatting sqref="L77 L78:N79">
    <cfRule type="containsText" dxfId="29" priority="13" operator="containsText" text="OK">
      <formula>NOT(ISERROR(SEARCH("OK",L77)))</formula>
    </cfRule>
    <cfRule type="containsText" dxfId="28" priority="14" operator="containsText" text="ERROR">
      <formula>NOT(ISERROR(SEARCH("ERROR",L77)))</formula>
    </cfRule>
  </conditionalFormatting>
  <conditionalFormatting sqref="N77">
    <cfRule type="containsText" dxfId="27" priority="7" operator="containsText" text="OK">
      <formula>NOT(ISERROR(SEARCH("OK",N77)))</formula>
    </cfRule>
    <cfRule type="containsText" dxfId="26" priority="8" operator="containsText" text="ERROR">
      <formula>NOT(ISERROR(SEARCH("ERROR",N77)))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8" orientation="landscape" r:id="rId1"/>
  <headerFooter>
    <oddFooter>&amp;L&amp;"Open Sans,Bold"&amp;10&amp;K002060DCF Valuation Modeling&amp;C&amp;"Open Sans,Bold"&amp;10&amp;K002060Page &amp;P of &amp;N&amp;R&amp;G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5" name="Drop Down 1">
              <controlPr defaultSize="0" autoLine="0" autoPict="0">
                <anchor moveWithCells="1" sizeWithCells="1">
                  <from>
                    <xdr:col>5</xdr:col>
                    <xdr:colOff>0</xdr:colOff>
                    <xdr:row>25</xdr:row>
                    <xdr:rowOff>0</xdr:rowOff>
                  </from>
                  <to>
                    <xdr:col>6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2C72A-37A2-4C40-9CA8-5CCBEC29C7F6}">
  <sheetPr>
    <pageSetUpPr autoPageBreaks="0"/>
  </sheetPr>
  <dimension ref="A1:N114"/>
  <sheetViews>
    <sheetView showGridLines="0" zoomScaleNormal="100" zoomScaleSheetLayoutView="100" workbookViewId="0">
      <pane ySplit="1" topLeftCell="A2" activePane="bottomLeft" state="frozen"/>
      <selection activeCell="A3" sqref="A3"/>
      <selection pane="bottomLeft" activeCell="B3" sqref="B3:N3"/>
    </sheetView>
  </sheetViews>
  <sheetFormatPr defaultColWidth="9.140625" defaultRowHeight="15" customHeight="1" outlineLevelRow="1"/>
  <cols>
    <col min="1" max="1" width="9.140625" style="109"/>
    <col min="2" max="2" width="12.85546875" style="109" customWidth="1"/>
    <col min="3" max="5" width="11.85546875" style="109" customWidth="1"/>
    <col min="6" max="6" width="12.28515625" style="109" bestFit="1" customWidth="1"/>
    <col min="7" max="12" width="11.85546875" style="109" customWidth="1"/>
    <col min="13" max="13" width="1.7109375" style="109" customWidth="1"/>
    <col min="14" max="16384" width="9.140625" style="109"/>
  </cols>
  <sheetData>
    <row r="1" spans="1:14" ht="50.1" customHeight="1">
      <c r="A1" s="12"/>
      <c r="B1" s="533" t="s">
        <v>289</v>
      </c>
      <c r="C1" s="412"/>
      <c r="D1" s="412"/>
      <c r="E1" s="412"/>
      <c r="F1" s="412"/>
      <c r="G1" s="421"/>
      <c r="H1" s="421"/>
      <c r="I1" s="412"/>
      <c r="J1" s="412"/>
      <c r="K1" s="412"/>
      <c r="L1" s="412"/>
      <c r="M1" s="12"/>
    </row>
    <row r="2" spans="1:14" ht="15" customHeight="1">
      <c r="A2" s="1"/>
      <c r="B2" s="1"/>
      <c r="C2" s="2"/>
      <c r="D2" s="2"/>
      <c r="E2" s="2"/>
      <c r="F2" s="2"/>
      <c r="G2" s="3"/>
      <c r="H2" s="4"/>
      <c r="I2" s="4"/>
      <c r="J2" s="4"/>
      <c r="K2" s="4"/>
      <c r="L2" s="4"/>
      <c r="M2" s="232"/>
    </row>
    <row r="3" spans="1:14" ht="15" customHeight="1">
      <c r="A3" s="1" t="s">
        <v>143</v>
      </c>
      <c r="B3" s="417" t="s">
        <v>126</v>
      </c>
      <c r="C3" s="413"/>
      <c r="D3" s="414"/>
      <c r="E3" s="414"/>
      <c r="F3" s="415"/>
      <c r="G3" s="415"/>
      <c r="H3" s="415"/>
      <c r="I3" s="415"/>
      <c r="J3" s="415"/>
      <c r="K3" s="415"/>
      <c r="L3" s="418"/>
      <c r="M3" s="415"/>
      <c r="N3" s="416"/>
    </row>
    <row r="4" spans="1:14" ht="15" customHeight="1" outlineLevel="1">
      <c r="A4" s="1"/>
      <c r="B4" s="6"/>
      <c r="C4" s="7"/>
      <c r="D4" s="8"/>
      <c r="E4" s="8"/>
      <c r="F4" s="9"/>
      <c r="G4" s="9"/>
      <c r="H4" s="9"/>
      <c r="I4" s="9"/>
      <c r="J4" s="9"/>
      <c r="K4" s="9"/>
      <c r="L4" s="9"/>
      <c r="M4" s="9"/>
    </row>
    <row r="5" spans="1:14" ht="15" customHeight="1" outlineLevel="1" thickBot="1">
      <c r="A5" s="1"/>
      <c r="B5" s="10"/>
      <c r="C5" s="7"/>
      <c r="D5" s="11"/>
      <c r="E5" s="11"/>
      <c r="F5" s="141"/>
      <c r="G5" s="102">
        <v>1</v>
      </c>
      <c r="H5" s="102">
        <f>G5+1</f>
        <v>2</v>
      </c>
      <c r="I5" s="102">
        <f>H5+1</f>
        <v>3</v>
      </c>
      <c r="J5" s="102" t="s">
        <v>78</v>
      </c>
    </row>
    <row r="6" spans="1:14" s="110" customFormat="1" ht="15" customHeight="1" outlineLevel="1">
      <c r="B6" s="16"/>
      <c r="D6" s="298"/>
      <c r="E6" s="298"/>
      <c r="F6" s="298"/>
      <c r="G6" s="298"/>
      <c r="H6" s="298"/>
      <c r="I6" s="111"/>
    </row>
    <row r="7" spans="1:14" s="110" customFormat="1" ht="15" customHeight="1" outlineLevel="1">
      <c r="B7" s="268" t="s">
        <v>152</v>
      </c>
      <c r="D7" s="397">
        <f>Outputs!F26</f>
        <v>1</v>
      </c>
      <c r="E7" s="298"/>
      <c r="F7" s="298"/>
      <c r="G7" s="298"/>
      <c r="H7" s="298"/>
      <c r="I7" s="111"/>
    </row>
    <row r="8" spans="1:14" s="110" customFormat="1" ht="15" customHeight="1" outlineLevel="1">
      <c r="C8" s="298"/>
      <c r="D8" s="298"/>
      <c r="E8" s="298"/>
      <c r="F8" s="298"/>
      <c r="G8" s="298"/>
      <c r="H8" s="111"/>
      <c r="I8" s="114"/>
    </row>
    <row r="9" spans="1:14" s="110" customFormat="1" ht="15" customHeight="1" outlineLevel="1">
      <c r="C9" s="298"/>
      <c r="D9" s="298"/>
      <c r="E9" s="298"/>
      <c r="F9" s="298"/>
      <c r="G9" s="298"/>
      <c r="H9" s="111"/>
      <c r="I9" s="114"/>
    </row>
    <row r="10" spans="1:14" s="110" customFormat="1" ht="15" customHeight="1" outlineLevel="1">
      <c r="B10" s="268" t="s">
        <v>322</v>
      </c>
      <c r="D10" s="139"/>
      <c r="E10" s="139"/>
      <c r="F10" s="139"/>
      <c r="G10" s="359" cm="1">
        <f t="array" ref="G10">INDEX(G12:G14,$D$7)</f>
        <v>0.1</v>
      </c>
      <c r="H10" s="360" cm="1">
        <f t="array" ref="H10">INDEX(H12:H14,D7)</f>
        <v>0.1</v>
      </c>
      <c r="I10" s="360" cm="1">
        <f t="array" ref="I10">INDEX(I12:I14,$D$7)</f>
        <v>0.1</v>
      </c>
      <c r="J10" s="361" cm="1">
        <f t="array" ref="J10">INDEX(J12:J14,$D$7)</f>
        <v>0.1</v>
      </c>
    </row>
    <row r="11" spans="1:14" s="110" customFormat="1" ht="15" customHeight="1" outlineLevel="1">
      <c r="C11" s="298"/>
      <c r="D11" s="298"/>
      <c r="E11" s="298"/>
      <c r="F11" s="298"/>
      <c r="G11" s="362"/>
      <c r="H11" s="363"/>
      <c r="I11" s="364"/>
      <c r="J11" s="365"/>
    </row>
    <row r="12" spans="1:14" s="110" customFormat="1" ht="15" customHeight="1" outlineLevel="1">
      <c r="B12" s="305" t="str">
        <f>Outputs!D77</f>
        <v>Best Case</v>
      </c>
      <c r="C12" s="112"/>
      <c r="D12" s="298"/>
      <c r="E12" s="298"/>
      <c r="F12" s="298"/>
      <c r="G12" s="366">
        <v>0.1</v>
      </c>
      <c r="H12" s="367">
        <v>0.1</v>
      </c>
      <c r="I12" s="367">
        <v>0.1</v>
      </c>
      <c r="J12" s="368">
        <v>0.1</v>
      </c>
    </row>
    <row r="13" spans="1:14" s="110" customFormat="1" ht="15" customHeight="1" outlineLevel="1">
      <c r="B13" s="305" t="str">
        <f>Outputs!D78</f>
        <v>Base Case</v>
      </c>
      <c r="C13" s="298"/>
      <c r="D13" s="298"/>
      <c r="E13" s="298"/>
      <c r="F13" s="298"/>
      <c r="G13" s="369">
        <v>0.1</v>
      </c>
      <c r="H13" s="82">
        <v>0.1</v>
      </c>
      <c r="I13" s="82">
        <v>0.1</v>
      </c>
      <c r="J13" s="370">
        <v>0.1</v>
      </c>
    </row>
    <row r="14" spans="1:14" s="110" customFormat="1" ht="15" customHeight="1" outlineLevel="1">
      <c r="B14" s="305" t="str">
        <f>Outputs!D79</f>
        <v>Worst Case</v>
      </c>
      <c r="C14" s="298"/>
      <c r="D14" s="298"/>
      <c r="E14" s="298"/>
      <c r="F14" s="298"/>
      <c r="G14" s="371">
        <v>0.1</v>
      </c>
      <c r="H14" s="318">
        <v>0.1</v>
      </c>
      <c r="I14" s="318">
        <v>0.1</v>
      </c>
      <c r="J14" s="372">
        <v>0.1</v>
      </c>
    </row>
    <row r="15" spans="1:14" s="110" customFormat="1" ht="15" customHeight="1" outlineLevel="1">
      <c r="B15" s="16"/>
      <c r="C15" s="140"/>
      <c r="D15" s="140"/>
      <c r="E15" s="140"/>
      <c r="F15" s="140"/>
      <c r="G15" s="362"/>
      <c r="H15" s="373"/>
      <c r="I15" s="364"/>
      <c r="J15" s="365"/>
    </row>
    <row r="16" spans="1:14" s="110" customFormat="1" ht="15" customHeight="1" outlineLevel="1">
      <c r="B16" s="16"/>
      <c r="C16" s="140"/>
      <c r="D16" s="140"/>
      <c r="E16" s="140"/>
      <c r="F16" s="140"/>
      <c r="G16" s="362"/>
      <c r="H16" s="373"/>
      <c r="I16" s="364"/>
      <c r="J16" s="365"/>
    </row>
    <row r="17" spans="2:10" s="110" customFormat="1" ht="15" customHeight="1" outlineLevel="1">
      <c r="B17" s="268" t="s">
        <v>323</v>
      </c>
      <c r="C17" s="140"/>
      <c r="D17" s="140"/>
      <c r="E17" s="140"/>
      <c r="F17" s="140"/>
      <c r="G17" s="359" cm="1">
        <f t="array" ref="G17">INDEX(G19:G21,$D$7)</f>
        <v>0.15</v>
      </c>
      <c r="H17" s="360" cm="1">
        <f t="array" ref="H17">INDEX(H19:H21,$D$7)</f>
        <v>0.15</v>
      </c>
      <c r="I17" s="360" cm="1">
        <f t="array" ref="I17">INDEX(I19:I21,$D$7)</f>
        <v>0.15</v>
      </c>
      <c r="J17" s="361" cm="1">
        <f t="array" ref="J17">INDEX(J19:J21,$D$7)</f>
        <v>0.15</v>
      </c>
    </row>
    <row r="18" spans="2:10" s="110" customFormat="1" ht="15" customHeight="1" outlineLevel="1">
      <c r="B18" s="16"/>
      <c r="C18" s="140"/>
      <c r="D18" s="140"/>
      <c r="E18" s="140"/>
      <c r="F18" s="140"/>
      <c r="G18" s="374"/>
      <c r="H18" s="375"/>
      <c r="I18" s="376"/>
      <c r="J18" s="377"/>
    </row>
    <row r="19" spans="2:10" s="110" customFormat="1" ht="15" customHeight="1" outlineLevel="1">
      <c r="B19" s="305" t="str">
        <f>$B$12</f>
        <v>Best Case</v>
      </c>
      <c r="C19" s="298"/>
      <c r="D19" s="298"/>
      <c r="E19" s="298"/>
      <c r="F19" s="298"/>
      <c r="G19" s="366">
        <v>0.15</v>
      </c>
      <c r="H19" s="367">
        <v>0.15</v>
      </c>
      <c r="I19" s="367">
        <v>0.15</v>
      </c>
      <c r="J19" s="368">
        <v>0.15</v>
      </c>
    </row>
    <row r="20" spans="2:10" s="110" customFormat="1" ht="15" customHeight="1" outlineLevel="1">
      <c r="B20" s="305" t="str">
        <f>$B$13</f>
        <v>Base Case</v>
      </c>
      <c r="C20" s="298"/>
      <c r="D20" s="298"/>
      <c r="E20" s="298"/>
      <c r="F20" s="298"/>
      <c r="G20" s="369">
        <v>0.15</v>
      </c>
      <c r="H20" s="82">
        <v>0.15</v>
      </c>
      <c r="I20" s="82">
        <v>0.15</v>
      </c>
      <c r="J20" s="370">
        <v>0.15</v>
      </c>
    </row>
    <row r="21" spans="2:10" s="110" customFormat="1" ht="15" customHeight="1" outlineLevel="1">
      <c r="B21" s="305" t="str">
        <f>$B$14</f>
        <v>Worst Case</v>
      </c>
      <c r="C21" s="298"/>
      <c r="D21" s="298"/>
      <c r="E21" s="298"/>
      <c r="F21" s="298"/>
      <c r="G21" s="371">
        <v>0.15</v>
      </c>
      <c r="H21" s="371">
        <v>0.15</v>
      </c>
      <c r="I21" s="318">
        <v>0.15</v>
      </c>
      <c r="J21" s="372">
        <v>0.15</v>
      </c>
    </row>
    <row r="22" spans="2:10" s="110" customFormat="1" ht="15" customHeight="1" outlineLevel="1">
      <c r="B22" s="113"/>
      <c r="C22" s="113"/>
      <c r="D22" s="113"/>
      <c r="E22" s="113"/>
      <c r="F22" s="113"/>
      <c r="G22" s="113"/>
      <c r="H22" s="113"/>
      <c r="I22" s="113"/>
      <c r="J22" s="113"/>
    </row>
    <row r="23" spans="2:10" s="110" customFormat="1" ht="15" customHeight="1" outlineLevel="1">
      <c r="C23" s="140"/>
      <c r="D23" s="140"/>
      <c r="E23" s="140"/>
      <c r="F23" s="140"/>
      <c r="G23" s="113"/>
      <c r="H23" s="113"/>
      <c r="I23" s="113"/>
      <c r="J23" s="113"/>
    </row>
    <row r="24" spans="2:10" s="110" customFormat="1" ht="15" customHeight="1" outlineLevel="1">
      <c r="B24" s="268" t="s">
        <v>49</v>
      </c>
      <c r="C24" s="140"/>
      <c r="D24" s="140"/>
      <c r="E24" s="140"/>
      <c r="F24" s="140"/>
      <c r="G24" s="378" cm="1">
        <f t="array" ref="G24">INDEX(G26:G28,$D$7)</f>
        <v>4000</v>
      </c>
      <c r="H24" s="379" cm="1">
        <f t="array" ref="H24">INDEX(H26:H28,$D$7)</f>
        <v>4300</v>
      </c>
      <c r="I24" s="379" cm="1">
        <f t="array" ref="I24">INDEX(I26:I28,$D$7)</f>
        <v>4400</v>
      </c>
      <c r="J24" s="380" cm="1">
        <f t="array" ref="J24">INDEX(J26:J28,$D$7)</f>
        <v>4900</v>
      </c>
    </row>
    <row r="25" spans="2:10" s="110" customFormat="1" ht="15" customHeight="1" outlineLevel="1">
      <c r="B25" s="16"/>
      <c r="C25" s="140"/>
      <c r="D25" s="140"/>
      <c r="E25" s="140"/>
      <c r="F25" s="140"/>
      <c r="G25" s="381"/>
      <c r="H25" s="382"/>
      <c r="I25" s="383"/>
      <c r="J25" s="384"/>
    </row>
    <row r="26" spans="2:10" s="110" customFormat="1" ht="15" customHeight="1" outlineLevel="1">
      <c r="B26" s="305" t="str">
        <f>$B$12</f>
        <v>Best Case</v>
      </c>
      <c r="C26" s="298"/>
      <c r="D26" s="298"/>
      <c r="E26" s="298"/>
      <c r="F26" s="298"/>
      <c r="G26" s="385">
        <v>4000</v>
      </c>
      <c r="H26" s="386">
        <v>4300</v>
      </c>
      <c r="I26" s="386">
        <v>4400</v>
      </c>
      <c r="J26" s="387">
        <v>4900</v>
      </c>
    </row>
    <row r="27" spans="2:10" s="110" customFormat="1" ht="15" customHeight="1" outlineLevel="1">
      <c r="B27" s="305" t="str">
        <f>$B$13</f>
        <v>Base Case</v>
      </c>
      <c r="C27" s="298"/>
      <c r="D27" s="298"/>
      <c r="E27" s="298"/>
      <c r="F27" s="298"/>
      <c r="G27" s="388">
        <v>4550</v>
      </c>
      <c r="H27" s="85">
        <v>4700</v>
      </c>
      <c r="I27" s="85">
        <v>4850</v>
      </c>
      <c r="J27" s="389">
        <v>5300</v>
      </c>
    </row>
    <row r="28" spans="2:10" s="110" customFormat="1" ht="15" customHeight="1" outlineLevel="1">
      <c r="B28" s="305" t="str">
        <f>$B$14</f>
        <v>Worst Case</v>
      </c>
      <c r="C28" s="298"/>
      <c r="D28" s="298"/>
      <c r="E28" s="298"/>
      <c r="F28" s="298"/>
      <c r="G28" s="390">
        <v>5000</v>
      </c>
      <c r="H28" s="391">
        <v>5200</v>
      </c>
      <c r="I28" s="391">
        <v>5400</v>
      </c>
      <c r="J28" s="392">
        <v>5800</v>
      </c>
    </row>
    <row r="29" spans="2:10" s="110" customFormat="1" ht="15" customHeight="1" outlineLevel="1">
      <c r="B29" s="113"/>
      <c r="C29" s="113"/>
      <c r="D29" s="113"/>
      <c r="E29" s="113"/>
      <c r="F29" s="113"/>
      <c r="G29" s="113"/>
      <c r="H29" s="113"/>
      <c r="I29" s="113"/>
      <c r="J29" s="113"/>
    </row>
    <row r="30" spans="2:10" s="110" customFormat="1" ht="15" customHeight="1" outlineLevel="1">
      <c r="B30" s="113"/>
      <c r="C30" s="113"/>
      <c r="D30" s="113"/>
      <c r="E30" s="113"/>
      <c r="F30" s="113"/>
      <c r="G30" s="113"/>
      <c r="H30" s="113"/>
      <c r="I30" s="113"/>
      <c r="J30" s="113"/>
    </row>
    <row r="31" spans="2:10" s="110" customFormat="1" ht="15" customHeight="1" outlineLevel="1">
      <c r="B31" s="268" t="s">
        <v>153</v>
      </c>
      <c r="C31" s="140"/>
      <c r="D31" s="140"/>
      <c r="E31" s="140"/>
      <c r="F31" s="140"/>
      <c r="G31" s="393">
        <v>3.5000000000000003E-2</v>
      </c>
      <c r="H31" s="394">
        <v>0.03</v>
      </c>
      <c r="I31" s="394">
        <v>0.03</v>
      </c>
      <c r="J31" s="395">
        <v>1.4999999999999999E-2</v>
      </c>
    </row>
    <row r="32" spans="2:10" s="110" customFormat="1" ht="15" customHeight="1" outlineLevel="1">
      <c r="B32" s="16"/>
      <c r="C32" s="140"/>
      <c r="D32" s="140"/>
      <c r="E32" s="140"/>
      <c r="F32" s="140"/>
      <c r="G32" s="396"/>
      <c r="H32" s="396"/>
      <c r="I32" s="396"/>
      <c r="J32" s="396"/>
    </row>
    <row r="33" spans="1:14" s="110" customFormat="1" ht="15" customHeight="1" outlineLevel="1">
      <c r="B33" s="16"/>
      <c r="C33" s="140"/>
      <c r="D33" s="140"/>
      <c r="E33" s="140"/>
      <c r="F33" s="140"/>
      <c r="G33" s="396"/>
      <c r="H33" s="396"/>
      <c r="I33" s="396"/>
      <c r="J33" s="396"/>
    </row>
    <row r="34" spans="1:14" s="110" customFormat="1" ht="15" customHeight="1" outlineLevel="1">
      <c r="B34" s="268" t="s">
        <v>176</v>
      </c>
      <c r="C34" s="113"/>
      <c r="D34" s="113"/>
      <c r="E34" s="113"/>
      <c r="F34" s="113"/>
      <c r="G34" s="113"/>
      <c r="H34" s="113"/>
      <c r="I34" s="113"/>
      <c r="J34" s="113"/>
    </row>
    <row r="35" spans="1:14" s="110" customFormat="1" ht="15" customHeight="1" outlineLevel="1">
      <c r="B35" s="274" t="s">
        <v>2</v>
      </c>
      <c r="C35" s="113"/>
      <c r="D35" s="113"/>
      <c r="E35" s="191"/>
      <c r="F35" s="113"/>
      <c r="G35" s="423">
        <v>0.2</v>
      </c>
      <c r="H35" s="424">
        <v>0.2</v>
      </c>
      <c r="I35" s="424">
        <v>0.2</v>
      </c>
      <c r="J35" s="425">
        <v>0.2</v>
      </c>
    </row>
    <row r="36" spans="1:14" s="110" customFormat="1" ht="15" customHeight="1" outlineLevel="1">
      <c r="B36" s="274" t="s">
        <v>4</v>
      </c>
      <c r="C36" s="113"/>
      <c r="D36" s="113"/>
      <c r="E36" s="191"/>
      <c r="F36" s="113"/>
      <c r="G36" s="426">
        <v>0.2</v>
      </c>
      <c r="H36" s="427">
        <v>0.2</v>
      </c>
      <c r="I36" s="427">
        <v>0.2</v>
      </c>
      <c r="J36" s="428">
        <f>J35</f>
        <v>0.2</v>
      </c>
    </row>
    <row r="37" spans="1:14" s="110" customFormat="1" ht="15" customHeight="1" outlineLevel="1">
      <c r="B37" s="274" t="s">
        <v>5</v>
      </c>
      <c r="C37" s="113"/>
      <c r="D37" s="113"/>
      <c r="E37" s="191"/>
      <c r="F37" s="113"/>
      <c r="G37" s="429">
        <v>0.3</v>
      </c>
      <c r="H37" s="430">
        <v>0.3</v>
      </c>
      <c r="I37" s="430">
        <v>0.3</v>
      </c>
      <c r="J37" s="431">
        <v>0.3</v>
      </c>
    </row>
    <row r="38" spans="1:14" s="110" customFormat="1" ht="15" customHeight="1" outlineLevel="1">
      <c r="C38" s="113"/>
      <c r="D38" s="113"/>
      <c r="E38" s="113"/>
      <c r="F38" s="113"/>
      <c r="G38" s="113"/>
      <c r="H38" s="113"/>
      <c r="I38" s="113"/>
      <c r="J38" s="113"/>
      <c r="K38" s="113"/>
      <c r="L38" s="113"/>
    </row>
    <row r="39" spans="1:14" s="110" customFormat="1" ht="15" customHeight="1" outlineLevel="1">
      <c r="B39" s="108"/>
      <c r="C39" s="113"/>
      <c r="D39" s="113"/>
      <c r="E39" s="113"/>
      <c r="F39" s="113"/>
      <c r="G39" s="113"/>
      <c r="H39" s="113"/>
      <c r="I39" s="113"/>
      <c r="J39" s="113"/>
      <c r="K39" s="113"/>
      <c r="L39" s="113"/>
    </row>
    <row r="40" spans="1:14" s="5" customFormat="1" ht="15" customHeight="1" outlineLevel="1">
      <c r="C40" s="7"/>
      <c r="D40" s="11"/>
      <c r="E40" s="11"/>
      <c r="F40" s="11"/>
      <c r="G40" s="11"/>
      <c r="H40" s="11"/>
      <c r="I40" s="39"/>
      <c r="J40" s="39"/>
      <c r="K40" s="39"/>
      <c r="L40" s="251" t="s">
        <v>199</v>
      </c>
    </row>
    <row r="41" spans="1:14" s="110" customFormat="1" ht="15" customHeight="1" outlineLevel="1">
      <c r="B41" s="298"/>
      <c r="C41" s="298"/>
      <c r="D41" s="298"/>
      <c r="E41" s="298"/>
      <c r="F41" s="298"/>
      <c r="G41" s="298"/>
      <c r="H41" s="115"/>
      <c r="I41" s="115"/>
      <c r="J41" s="115"/>
      <c r="K41" s="115"/>
      <c r="L41" s="115"/>
      <c r="M41" s="115"/>
    </row>
    <row r="42" spans="1:14" s="110" customFormat="1" ht="15" customHeight="1" outlineLevel="1">
      <c r="B42" s="306"/>
      <c r="C42" s="306"/>
      <c r="D42" s="306"/>
      <c r="E42" s="306"/>
      <c r="F42" s="306"/>
      <c r="G42" s="306"/>
      <c r="H42" s="116"/>
      <c r="I42" s="116"/>
      <c r="J42" s="116"/>
      <c r="K42" s="116"/>
      <c r="L42" s="116"/>
      <c r="M42" s="115"/>
    </row>
    <row r="43" spans="1:14" s="110" customFormat="1" ht="15" customHeight="1">
      <c r="B43" s="298"/>
      <c r="C43" s="298"/>
      <c r="D43" s="298"/>
      <c r="E43" s="298"/>
      <c r="F43" s="298"/>
      <c r="G43" s="298"/>
      <c r="H43" s="115"/>
      <c r="I43" s="115"/>
      <c r="J43" s="115"/>
      <c r="K43" s="115"/>
      <c r="L43" s="115"/>
      <c r="M43" s="115"/>
    </row>
    <row r="44" spans="1:14" ht="15" customHeight="1">
      <c r="A44" s="5" t="s">
        <v>143</v>
      </c>
      <c r="B44" s="417" t="s">
        <v>80</v>
      </c>
      <c r="C44" s="413"/>
      <c r="D44" s="414"/>
      <c r="E44" s="414"/>
      <c r="F44" s="415"/>
      <c r="G44" s="415"/>
      <c r="H44" s="415"/>
      <c r="I44" s="415"/>
      <c r="J44" s="415"/>
      <c r="K44" s="415"/>
      <c r="L44" s="418"/>
      <c r="M44" s="415"/>
      <c r="N44" s="416"/>
    </row>
    <row r="45" spans="1:14" ht="15" customHeight="1" outlineLevel="1">
      <c r="A45" s="5"/>
      <c r="B45" s="6"/>
      <c r="C45" s="7"/>
      <c r="D45" s="7"/>
      <c r="E45" s="7"/>
      <c r="F45" s="8"/>
      <c r="G45" s="9"/>
      <c r="H45" s="9"/>
      <c r="I45" s="9"/>
      <c r="J45" s="9"/>
      <c r="K45" s="9"/>
      <c r="L45" s="9"/>
      <c r="M45" s="9"/>
    </row>
    <row r="46" spans="1:14" ht="15" customHeight="1" outlineLevel="1">
      <c r="A46" s="5"/>
      <c r="B46" s="10"/>
      <c r="C46" s="7"/>
      <c r="D46" s="7"/>
      <c r="E46" s="7"/>
      <c r="F46" s="11"/>
      <c r="G46" s="11"/>
      <c r="H46" s="11"/>
      <c r="I46" s="39"/>
      <c r="J46" s="39"/>
      <c r="K46" s="39"/>
      <c r="L46" s="39"/>
      <c r="M46" s="39"/>
    </row>
    <row r="47" spans="1:14" ht="15" customHeight="1" outlineLevel="1">
      <c r="A47" s="5"/>
      <c r="C47" s="7"/>
      <c r="D47" s="7"/>
      <c r="E47" s="7"/>
      <c r="F47" s="11"/>
      <c r="G47" s="29"/>
      <c r="H47" s="29"/>
      <c r="I47" s="81"/>
      <c r="J47" s="81"/>
      <c r="K47" s="81"/>
      <c r="L47" s="81"/>
      <c r="M47" s="81"/>
    </row>
    <row r="48" spans="1:14" ht="15" customHeight="1" outlineLevel="1">
      <c r="A48" s="5"/>
      <c r="B48" s="307"/>
      <c r="C48" s="88"/>
      <c r="D48" s="88"/>
      <c r="E48" s="88"/>
      <c r="F48" s="117"/>
      <c r="G48" s="89"/>
      <c r="H48" s="233" t="s">
        <v>26</v>
      </c>
      <c r="I48" s="242" t="s">
        <v>94</v>
      </c>
      <c r="J48" s="242" t="s">
        <v>94</v>
      </c>
      <c r="K48" s="233" t="s">
        <v>96</v>
      </c>
      <c r="L48" s="93" t="s">
        <v>97</v>
      </c>
    </row>
    <row r="49" spans="1:14" ht="21.75" customHeight="1" outlineLevel="1" thickBot="1">
      <c r="A49" s="5"/>
      <c r="B49" s="16" t="s">
        <v>90</v>
      </c>
      <c r="C49" s="16"/>
      <c r="D49" s="258" t="s">
        <v>91</v>
      </c>
      <c r="E49" s="16"/>
      <c r="F49" s="189" t="s">
        <v>92</v>
      </c>
      <c r="G49" s="189" t="s">
        <v>93</v>
      </c>
      <c r="H49" s="239" t="s">
        <v>237</v>
      </c>
      <c r="I49" s="243" t="s">
        <v>93</v>
      </c>
      <c r="J49" s="243" t="s">
        <v>95</v>
      </c>
      <c r="K49" s="239" t="s">
        <v>238</v>
      </c>
      <c r="L49" s="239" t="s">
        <v>238</v>
      </c>
    </row>
    <row r="50" spans="1:14" ht="15" customHeight="1" outlineLevel="1">
      <c r="A50" s="5"/>
      <c r="B50" s="237"/>
      <c r="C50" s="237"/>
      <c r="D50" s="237"/>
      <c r="E50" s="237"/>
      <c r="F50" s="238"/>
      <c r="G50" s="238"/>
      <c r="H50" s="240"/>
      <c r="I50" s="244"/>
      <c r="J50" s="244"/>
      <c r="K50" s="241"/>
      <c r="L50" s="238"/>
    </row>
    <row r="51" spans="1:14" ht="15" customHeight="1" outlineLevel="1">
      <c r="A51" s="5"/>
      <c r="B51" s="422" t="s">
        <v>234</v>
      </c>
      <c r="C51" s="219"/>
      <c r="D51" s="410" t="s">
        <v>235</v>
      </c>
      <c r="E51" s="84"/>
      <c r="F51" s="85">
        <v>63702</v>
      </c>
      <c r="G51" s="85">
        <v>375499.31244000001</v>
      </c>
      <c r="H51" s="353">
        <v>0.3</v>
      </c>
      <c r="I51" s="354">
        <f>F51/G51</f>
        <v>0.16964611622339193</v>
      </c>
      <c r="J51" s="354">
        <f>F51/(F51+G51)</f>
        <v>0.14504055018893514</v>
      </c>
      <c r="K51" s="355">
        <v>0.85</v>
      </c>
      <c r="L51" s="234">
        <f>K51/(1+(1-H51)*I51)</f>
        <v>0.75977498697876233</v>
      </c>
    </row>
    <row r="52" spans="1:14" ht="15" customHeight="1" outlineLevel="1">
      <c r="A52" s="5"/>
      <c r="B52" s="422" t="s">
        <v>233</v>
      </c>
      <c r="C52" s="219"/>
      <c r="D52" s="410" t="s">
        <v>235</v>
      </c>
      <c r="E52" s="84"/>
      <c r="F52" s="85">
        <v>43422</v>
      </c>
      <c r="G52" s="85">
        <v>311425.20292000001</v>
      </c>
      <c r="H52" s="353">
        <v>0.3</v>
      </c>
      <c r="I52" s="354">
        <f>F52/G52</f>
        <v>0.13942994848478718</v>
      </c>
      <c r="J52" s="354">
        <f>F52/(F52+G52)</f>
        <v>0.12236816196572768</v>
      </c>
      <c r="K52" s="355">
        <v>1.01098</v>
      </c>
      <c r="L52" s="234">
        <f>K52/(1+(1-H52)*I52)</f>
        <v>0.92108155259953173</v>
      </c>
    </row>
    <row r="53" spans="1:14" ht="15" customHeight="1" outlineLevel="1">
      <c r="A53" s="5"/>
      <c r="B53" s="273"/>
      <c r="C53" s="219"/>
      <c r="D53" s="84"/>
      <c r="E53" s="84"/>
      <c r="F53" s="85"/>
      <c r="G53" s="85"/>
      <c r="H53" s="353"/>
      <c r="I53" s="354"/>
      <c r="J53" s="354"/>
      <c r="K53" s="355"/>
      <c r="L53" s="234"/>
    </row>
    <row r="54" spans="1:14" ht="15" customHeight="1" outlineLevel="1">
      <c r="A54" s="5"/>
      <c r="B54" s="273"/>
      <c r="C54" s="219"/>
      <c r="D54" s="84"/>
      <c r="E54" s="84"/>
      <c r="F54" s="85"/>
      <c r="G54" s="85"/>
      <c r="H54" s="353"/>
      <c r="I54" s="354"/>
      <c r="J54" s="354"/>
      <c r="K54" s="355"/>
      <c r="L54" s="234"/>
    </row>
    <row r="55" spans="1:14" ht="15" customHeight="1" outlineLevel="1">
      <c r="A55" s="5"/>
      <c r="B55" s="223"/>
      <c r="C55" s="223"/>
      <c r="D55" s="91"/>
      <c r="E55" s="91"/>
      <c r="F55" s="92"/>
      <c r="G55" s="92"/>
      <c r="H55" s="356"/>
      <c r="I55" s="357"/>
      <c r="J55" s="357"/>
      <c r="K55" s="358"/>
      <c r="L55" s="338"/>
    </row>
    <row r="56" spans="1:14" ht="15" customHeight="1" outlineLevel="1">
      <c r="A56" s="5"/>
      <c r="C56" s="49"/>
      <c r="D56" s="13"/>
      <c r="E56" s="13"/>
      <c r="F56" s="85"/>
      <c r="G56" s="85"/>
      <c r="H56" s="82"/>
      <c r="I56" s="245"/>
      <c r="J56" s="245"/>
      <c r="K56" s="86"/>
      <c r="L56" s="234"/>
    </row>
    <row r="57" spans="1:14" ht="15" customHeight="1" outlineLevel="1">
      <c r="A57" s="5"/>
      <c r="B57" s="10"/>
      <c r="C57" s="7"/>
      <c r="D57" s="7"/>
      <c r="E57" s="7"/>
      <c r="F57" s="11"/>
      <c r="G57" s="235" t="s">
        <v>26</v>
      </c>
      <c r="H57" s="333">
        <f>AVERAGE(H51:H55)</f>
        <v>0.3</v>
      </c>
      <c r="I57" s="334">
        <f>AVERAGE(I51:I55)</f>
        <v>0.15453803235408956</v>
      </c>
      <c r="J57" s="334">
        <f>AVERAGE(J51:J55)</f>
        <v>0.13370435607733142</v>
      </c>
      <c r="K57" s="335">
        <f>AVERAGE(K51:K55)</f>
        <v>0.93049000000000004</v>
      </c>
      <c r="L57" s="335">
        <f>AVERAGE(L51:L55)</f>
        <v>0.84042826978914698</v>
      </c>
    </row>
    <row r="58" spans="1:14" ht="15" customHeight="1" outlineLevel="1">
      <c r="A58" s="5"/>
      <c r="B58" s="10"/>
      <c r="C58" s="7"/>
      <c r="D58" s="7"/>
      <c r="E58" s="7"/>
      <c r="F58" s="11"/>
      <c r="G58" s="236" t="s">
        <v>98</v>
      </c>
      <c r="H58" s="336">
        <f>MEDIAN(H51:H55)</f>
        <v>0.3</v>
      </c>
      <c r="I58" s="337">
        <f>MEDIAN(I51:I55)</f>
        <v>0.15453803235408956</v>
      </c>
      <c r="J58" s="337">
        <f>MEDIAN(J51:J55)</f>
        <v>0.13370435607733142</v>
      </c>
      <c r="K58" s="338">
        <f>MEDIAN(K51:K55)</f>
        <v>0.93049000000000004</v>
      </c>
      <c r="L58" s="338">
        <f>MEDIAN(L51:L55)</f>
        <v>0.84042826978914698</v>
      </c>
    </row>
    <row r="59" spans="1:14" ht="15" customHeight="1" outlineLevel="1">
      <c r="A59" s="5"/>
      <c r="B59" s="10"/>
      <c r="C59" s="7"/>
      <c r="D59" s="7"/>
      <c r="E59" s="7"/>
      <c r="F59" s="11"/>
      <c r="G59" s="11"/>
      <c r="H59" s="83"/>
      <c r="I59" s="134"/>
      <c r="J59" s="134"/>
      <c r="K59" s="87"/>
      <c r="L59" s="87"/>
    </row>
    <row r="60" spans="1:14" ht="15" customHeight="1" outlineLevel="1">
      <c r="A60" s="5"/>
      <c r="B60" s="13"/>
      <c r="C60" s="7"/>
      <c r="D60" s="7"/>
      <c r="E60" s="7"/>
      <c r="F60" s="133"/>
      <c r="G60" s="79"/>
      <c r="H60" s="79"/>
      <c r="I60" s="80"/>
      <c r="J60" s="80"/>
      <c r="K60" s="80"/>
      <c r="L60" s="80"/>
      <c r="M60" s="80"/>
    </row>
    <row r="61" spans="1:14" ht="15" customHeight="1" outlineLevel="1">
      <c r="A61" s="5"/>
      <c r="B61" s="90" t="s">
        <v>110</v>
      </c>
      <c r="C61" s="150"/>
      <c r="D61" s="150"/>
      <c r="E61" s="150"/>
      <c r="F61" s="33"/>
      <c r="H61" s="90" t="s">
        <v>103</v>
      </c>
      <c r="I61" s="308"/>
      <c r="J61" s="150"/>
      <c r="K61" s="308"/>
      <c r="L61" s="33"/>
    </row>
    <row r="62" spans="1:14" s="12" customFormat="1" ht="15" customHeight="1" outlineLevel="1">
      <c r="B62" s="158"/>
      <c r="C62" s="158"/>
      <c r="D62" s="158"/>
      <c r="E62" s="158"/>
      <c r="F62" s="158"/>
      <c r="H62" s="158"/>
      <c r="I62" s="158"/>
      <c r="J62" s="158"/>
      <c r="K62" s="158"/>
      <c r="L62" s="158"/>
    </row>
    <row r="63" spans="1:14" s="12" customFormat="1" ht="15" customHeight="1" outlineLevel="1">
      <c r="B63" s="107" t="s">
        <v>221</v>
      </c>
      <c r="C63" s="109"/>
      <c r="D63" s="148"/>
      <c r="E63" s="148"/>
      <c r="F63" s="82">
        <v>3.1699999999999999E-2</v>
      </c>
      <c r="H63" s="107" t="s">
        <v>104</v>
      </c>
      <c r="I63" s="109"/>
      <c r="J63" s="109"/>
      <c r="K63" s="109"/>
      <c r="L63" s="82">
        <v>4.6800000000000001E-2</v>
      </c>
      <c r="N63" s="490" t="s">
        <v>283</v>
      </c>
    </row>
    <row r="64" spans="1:14" ht="15" customHeight="1" outlineLevel="1">
      <c r="A64" s="5"/>
      <c r="B64" s="107" t="s">
        <v>157</v>
      </c>
      <c r="F64" s="35">
        <f>$L$57</f>
        <v>0.84042826978914698</v>
      </c>
      <c r="H64" s="107" t="s">
        <v>222</v>
      </c>
      <c r="J64" s="12"/>
      <c r="L64" s="83">
        <f>F66</f>
        <v>4.7954837074168727E-2</v>
      </c>
    </row>
    <row r="65" spans="1:14" ht="15" customHeight="1" outlineLevel="1">
      <c r="A65" s="5"/>
      <c r="B65" s="280" t="s">
        <v>172</v>
      </c>
      <c r="F65" s="350">
        <f>F64*(1+(1-L73)*F77)</f>
        <v>1.5127708856204647</v>
      </c>
      <c r="H65" s="107" t="s">
        <v>223</v>
      </c>
      <c r="L65" s="318">
        <v>8.0000000000000002E-3</v>
      </c>
      <c r="N65" s="490" t="s">
        <v>282</v>
      </c>
    </row>
    <row r="66" spans="1:14" ht="15" customHeight="1" outlineLevel="1">
      <c r="A66" s="5"/>
      <c r="B66" s="107" t="s">
        <v>222</v>
      </c>
      <c r="F66" s="83">
        <f>F63*F65</f>
        <v>4.7954837074168727E-2</v>
      </c>
      <c r="H66" s="107" t="s">
        <v>103</v>
      </c>
      <c r="J66" s="12"/>
      <c r="L66" s="83">
        <f>SUM(L63:L65)</f>
        <v>0.10275483707416874</v>
      </c>
    </row>
    <row r="67" spans="1:14" ht="15" customHeight="1" outlineLevel="1">
      <c r="A67" s="5"/>
    </row>
    <row r="68" spans="1:14" s="12" customFormat="1" ht="15" customHeight="1" outlineLevel="1"/>
    <row r="69" spans="1:14" s="12" customFormat="1" ht="15" customHeight="1" outlineLevel="1">
      <c r="I69" s="20"/>
      <c r="K69" s="20"/>
      <c r="L69" s="20"/>
    </row>
    <row r="70" spans="1:14" ht="15" customHeight="1" outlineLevel="1">
      <c r="A70" s="5"/>
      <c r="B70" s="90" t="s">
        <v>138</v>
      </c>
      <c r="C70" s="150"/>
      <c r="D70" s="150"/>
      <c r="E70" s="178"/>
      <c r="F70" s="178"/>
      <c r="H70" s="90" t="s">
        <v>100</v>
      </c>
      <c r="I70" s="150"/>
      <c r="J70" s="150"/>
      <c r="K70" s="150"/>
      <c r="L70" s="33"/>
    </row>
    <row r="71" spans="1:14" ht="15" customHeight="1" outlineLevel="1">
      <c r="A71" s="5"/>
      <c r="C71" s="158"/>
      <c r="D71" s="158"/>
      <c r="E71" s="158"/>
      <c r="F71" s="158"/>
      <c r="H71" s="158"/>
      <c r="I71" s="158"/>
      <c r="J71" s="158"/>
      <c r="K71" s="158"/>
      <c r="L71" s="158"/>
    </row>
    <row r="72" spans="1:14" ht="15" customHeight="1" outlineLevel="1" thickBot="1">
      <c r="A72" s="5"/>
      <c r="B72" s="10"/>
      <c r="E72" s="317" t="s">
        <v>140</v>
      </c>
      <c r="F72" s="317" t="s">
        <v>137</v>
      </c>
      <c r="H72" s="107" t="s">
        <v>101</v>
      </c>
      <c r="I72" s="12"/>
      <c r="K72" s="12"/>
      <c r="L72" s="82">
        <v>0.15</v>
      </c>
    </row>
    <row r="73" spans="1:14" ht="15" customHeight="1" outlineLevel="1">
      <c r="A73" s="5"/>
      <c r="B73" s="107" t="s">
        <v>99</v>
      </c>
      <c r="C73" s="12"/>
      <c r="D73" s="94">
        <v>0</v>
      </c>
      <c r="E73" s="83">
        <v>0.5</v>
      </c>
      <c r="F73" s="82">
        <v>0.5</v>
      </c>
      <c r="H73" s="107" t="s">
        <v>46</v>
      </c>
      <c r="L73" s="318">
        <v>0.2</v>
      </c>
    </row>
    <row r="74" spans="1:14" ht="15" customHeight="1" outlineLevel="1">
      <c r="A74" s="5"/>
      <c r="B74" s="107" t="s">
        <v>106</v>
      </c>
      <c r="D74" s="95">
        <v>300000</v>
      </c>
      <c r="E74" s="351">
        <v>0.5</v>
      </c>
      <c r="F74" s="351">
        <f>1-F73</f>
        <v>0.5</v>
      </c>
      <c r="H74" s="107" t="s">
        <v>102</v>
      </c>
      <c r="L74" s="83">
        <f>L72*(1-L73)</f>
        <v>0.12</v>
      </c>
    </row>
    <row r="75" spans="1:14" ht="15" customHeight="1" outlineLevel="1">
      <c r="A75" s="5"/>
      <c r="B75" s="107" t="s">
        <v>107</v>
      </c>
      <c r="D75" s="96">
        <f>SUM(D73:D74)</f>
        <v>300000</v>
      </c>
      <c r="E75" s="83">
        <f>SUM(E73:E74)</f>
        <v>1</v>
      </c>
      <c r="F75" s="83">
        <f>SUM(F73:F74)</f>
        <v>1</v>
      </c>
    </row>
    <row r="76" spans="1:14" ht="15" customHeight="1" outlineLevel="1">
      <c r="A76" s="5"/>
      <c r="F76" s="11"/>
    </row>
    <row r="77" spans="1:14" ht="15" customHeight="1" outlineLevel="1">
      <c r="A77" s="5"/>
      <c r="B77" s="275" t="s">
        <v>141</v>
      </c>
      <c r="C77" s="309"/>
      <c r="D77" s="309"/>
      <c r="E77" s="352">
        <f>E73/E74</f>
        <v>1</v>
      </c>
      <c r="F77" s="352">
        <f>F73/F74</f>
        <v>1</v>
      </c>
      <c r="H77" s="90" t="s">
        <v>80</v>
      </c>
      <c r="I77" s="308"/>
      <c r="J77" s="150"/>
      <c r="K77" s="33"/>
      <c r="L77" s="150"/>
    </row>
    <row r="78" spans="1:14" s="12" customFormat="1" ht="15" customHeight="1" outlineLevel="1">
      <c r="B78" s="16"/>
      <c r="C78" s="109"/>
      <c r="D78" s="109"/>
      <c r="E78" s="109"/>
      <c r="F78" s="109"/>
      <c r="G78" s="7"/>
      <c r="H78" s="158"/>
      <c r="I78" s="158"/>
      <c r="J78" s="158"/>
      <c r="K78" s="158"/>
      <c r="L78" s="158"/>
    </row>
    <row r="79" spans="1:14" s="12" customFormat="1" ht="15" customHeight="1" outlineLevel="1" thickBot="1">
      <c r="B79" s="13"/>
      <c r="C79" s="109"/>
      <c r="D79" s="109"/>
      <c r="E79" s="109"/>
      <c r="F79" s="109"/>
      <c r="G79" s="7"/>
      <c r="K79" s="317" t="s">
        <v>135</v>
      </c>
      <c r="L79" s="317" t="s">
        <v>105</v>
      </c>
    </row>
    <row r="80" spans="1:14" ht="15" customHeight="1" outlineLevel="1">
      <c r="A80" s="5"/>
      <c r="B80" s="276" t="s">
        <v>200</v>
      </c>
      <c r="C80" s="12"/>
      <c r="D80" s="97"/>
      <c r="E80" s="97"/>
      <c r="F80" s="97"/>
      <c r="H80" s="107" t="s">
        <v>108</v>
      </c>
      <c r="J80" s="12"/>
      <c r="K80" s="83">
        <f>F73</f>
        <v>0.5</v>
      </c>
      <c r="L80" s="83">
        <f>L74</f>
        <v>0.12</v>
      </c>
    </row>
    <row r="81" spans="1:14" ht="15" customHeight="1" outlineLevel="1">
      <c r="A81" s="5"/>
      <c r="B81" s="277" t="s">
        <v>201</v>
      </c>
      <c r="C81" s="12"/>
      <c r="D81" s="97"/>
      <c r="E81" s="97"/>
      <c r="F81" s="97"/>
      <c r="H81" s="107" t="s">
        <v>109</v>
      </c>
      <c r="K81" s="83">
        <f>F74</f>
        <v>0.5</v>
      </c>
      <c r="L81" s="83">
        <f>L66</f>
        <v>0.10275483707416874</v>
      </c>
    </row>
    <row r="82" spans="1:14" ht="15" customHeight="1" outlineLevel="1">
      <c r="A82" s="5"/>
      <c r="B82" s="278" t="s">
        <v>202</v>
      </c>
    </row>
    <row r="83" spans="1:14" ht="15" customHeight="1" outlineLevel="1">
      <c r="B83" s="279" t="s">
        <v>203</v>
      </c>
      <c r="H83" s="12"/>
      <c r="I83" s="12"/>
      <c r="J83" s="12"/>
      <c r="K83" s="12"/>
      <c r="L83" s="348"/>
    </row>
    <row r="84" spans="1:14" s="12" customFormat="1" ht="15" customHeight="1" outlineLevel="1" thickBot="1">
      <c r="B84" s="14"/>
      <c r="H84" s="107" t="s">
        <v>80</v>
      </c>
      <c r="I84" s="109"/>
      <c r="J84" s="109"/>
      <c r="K84" s="492"/>
      <c r="L84" s="349">
        <f>SUMPRODUCT(K80:K81,L80:L81)</f>
        <v>0.11137741853708437</v>
      </c>
      <c r="M84" s="491">
        <f>K80*L80+K81*L81</f>
        <v>0.11137741853708437</v>
      </c>
    </row>
    <row r="85" spans="1:14" ht="15" customHeight="1" outlineLevel="1"/>
    <row r="86" spans="1:14" s="110" customFormat="1" ht="15" customHeight="1" outlineLevel="1">
      <c r="B86" s="306"/>
      <c r="C86" s="306"/>
      <c r="D86" s="306"/>
      <c r="E86" s="306"/>
      <c r="F86" s="306"/>
      <c r="G86" s="306"/>
      <c r="H86" s="116"/>
      <c r="I86" s="116"/>
      <c r="J86" s="116"/>
      <c r="K86" s="116"/>
      <c r="L86" s="116"/>
      <c r="M86" s="115"/>
    </row>
    <row r="88" spans="1:14" ht="15" customHeight="1">
      <c r="A88" s="1" t="s">
        <v>143</v>
      </c>
      <c r="B88" s="417" t="s">
        <v>162</v>
      </c>
      <c r="C88" s="413"/>
      <c r="D88" s="414"/>
      <c r="E88" s="414"/>
      <c r="F88" s="415"/>
      <c r="G88" s="415"/>
      <c r="H88" s="415"/>
      <c r="I88" s="415"/>
      <c r="J88" s="415"/>
      <c r="K88" s="415"/>
      <c r="L88" s="418"/>
      <c r="M88" s="415"/>
      <c r="N88" s="416"/>
    </row>
    <row r="89" spans="1:14" ht="15" customHeight="1" outlineLevel="1">
      <c r="A89" s="1"/>
      <c r="B89" s="10"/>
      <c r="C89" s="2"/>
      <c r="D89" s="2"/>
      <c r="E89" s="2"/>
      <c r="F89" s="2"/>
      <c r="G89" s="3"/>
      <c r="H89" s="4"/>
      <c r="I89" s="4"/>
      <c r="J89" s="4"/>
      <c r="K89" s="4"/>
      <c r="L89" s="4"/>
      <c r="M89" s="232"/>
    </row>
    <row r="90" spans="1:14" ht="15" customHeight="1" outlineLevel="1">
      <c r="A90" s="5"/>
      <c r="B90" s="10" t="s">
        <v>19</v>
      </c>
      <c r="C90" s="7"/>
      <c r="D90" s="7"/>
      <c r="E90" s="7"/>
      <c r="F90" s="11"/>
      <c r="G90" s="11"/>
      <c r="H90" s="11"/>
      <c r="I90" s="39"/>
      <c r="J90" s="39"/>
      <c r="K90" s="39"/>
      <c r="L90" s="39"/>
      <c r="M90" s="39"/>
    </row>
    <row r="91" spans="1:14" ht="15" customHeight="1" outlineLevel="1">
      <c r="A91" s="5"/>
      <c r="C91" s="7"/>
      <c r="D91" s="7"/>
      <c r="E91" s="7"/>
      <c r="F91" s="11"/>
      <c r="G91" s="29"/>
      <c r="H91" s="29"/>
      <c r="I91" s="81"/>
      <c r="J91" s="81"/>
      <c r="K91" s="81"/>
      <c r="L91" s="81"/>
      <c r="M91" s="81"/>
    </row>
    <row r="92" spans="1:14" ht="15" customHeight="1" outlineLevel="1">
      <c r="A92" s="5"/>
      <c r="C92" s="7"/>
      <c r="D92" s="7"/>
      <c r="E92" s="7"/>
      <c r="F92" s="11"/>
      <c r="G92" s="29"/>
      <c r="H92" s="29"/>
      <c r="I92" s="81"/>
      <c r="J92" s="81"/>
      <c r="K92" s="81"/>
      <c r="L92" s="81"/>
      <c r="M92" s="81"/>
    </row>
    <row r="93" spans="1:14" ht="15" customHeight="1" outlineLevel="1">
      <c r="A93" s="1"/>
      <c r="B93" s="193" t="s">
        <v>163</v>
      </c>
      <c r="C93" s="310"/>
      <c r="D93" s="310"/>
      <c r="E93" s="310"/>
      <c r="F93" s="310"/>
      <c r="G93" s="310"/>
      <c r="H93" s="193" t="str">
        <f>CONCATENATE("End of ",G5-1," Balances")</f>
        <v>End of 0 Balances</v>
      </c>
    </row>
    <row r="94" spans="1:14" ht="15" customHeight="1" outlineLevel="1">
      <c r="A94" s="1"/>
      <c r="B94" s="311" t="s">
        <v>84</v>
      </c>
      <c r="C94" s="312"/>
      <c r="D94" s="218"/>
      <c r="E94" s="190" t="s">
        <v>88</v>
      </c>
      <c r="F94" s="299">
        <v>44927</v>
      </c>
      <c r="G94" s="310"/>
      <c r="H94" s="312" t="s">
        <v>112</v>
      </c>
      <c r="I94" s="312"/>
      <c r="J94" s="313"/>
      <c r="K94" s="203"/>
      <c r="L94" s="186">
        <v>0</v>
      </c>
    </row>
    <row r="95" spans="1:14" ht="15" customHeight="1" outlineLevel="1">
      <c r="A95" s="1"/>
      <c r="B95" s="314" t="s">
        <v>139</v>
      </c>
      <c r="C95" s="298"/>
      <c r="D95" s="219"/>
      <c r="E95" s="191" t="s">
        <v>88</v>
      </c>
      <c r="F95" s="300">
        <v>44927</v>
      </c>
      <c r="G95" s="310"/>
      <c r="H95" s="310" t="s">
        <v>121</v>
      </c>
      <c r="I95" s="157"/>
      <c r="J95" s="310"/>
      <c r="L95" s="187">
        <v>65014</v>
      </c>
    </row>
    <row r="96" spans="1:14" ht="15" customHeight="1" outlineLevel="1">
      <c r="A96" s="1"/>
      <c r="B96" s="298" t="s">
        <v>171</v>
      </c>
      <c r="C96" s="219"/>
      <c r="D96" s="219"/>
      <c r="E96" s="191" t="s">
        <v>88</v>
      </c>
      <c r="F96" s="300">
        <v>45291</v>
      </c>
      <c r="G96" s="310"/>
      <c r="H96" s="310" t="s">
        <v>196</v>
      </c>
      <c r="I96" s="157"/>
      <c r="J96" s="157"/>
      <c r="L96" s="187">
        <v>0</v>
      </c>
    </row>
    <row r="97" spans="1:13" ht="15" customHeight="1" outlineLevel="1">
      <c r="A97" s="1"/>
      <c r="B97" s="298" t="s">
        <v>159</v>
      </c>
      <c r="C97" s="298"/>
      <c r="D97" s="219"/>
      <c r="E97" s="191" t="s">
        <v>194</v>
      </c>
      <c r="F97" s="331">
        <v>2024</v>
      </c>
      <c r="G97" s="310"/>
      <c r="H97" s="310" t="s">
        <v>197</v>
      </c>
      <c r="I97" s="310"/>
      <c r="J97" s="310"/>
      <c r="L97" s="188">
        <v>0</v>
      </c>
    </row>
    <row r="98" spans="1:13" ht="15" customHeight="1" outlineLevel="1">
      <c r="A98" s="1"/>
      <c r="B98" s="314" t="s">
        <v>167</v>
      </c>
      <c r="C98" s="219"/>
      <c r="D98" s="219"/>
      <c r="E98" s="219"/>
      <c r="F98" s="332">
        <f>IF(F94&gt;F95,1,0)</f>
        <v>0</v>
      </c>
      <c r="G98" s="156"/>
    </row>
    <row r="99" spans="1:13" ht="15" customHeight="1" outlineLevel="1">
      <c r="A99" s="1"/>
      <c r="B99" s="314" t="s">
        <v>168</v>
      </c>
      <c r="C99" s="298"/>
      <c r="D99" s="298"/>
      <c r="E99" s="219"/>
      <c r="F99" s="332">
        <f>IF(F95&gt;F96,1,0)</f>
        <v>0</v>
      </c>
    </row>
    <row r="100" spans="1:13" ht="15" customHeight="1" outlineLevel="1">
      <c r="A100" s="1"/>
      <c r="B100" s="298" t="s">
        <v>1</v>
      </c>
      <c r="C100" s="220"/>
      <c r="D100" s="220"/>
      <c r="E100" s="219"/>
      <c r="F100" s="94">
        <v>365</v>
      </c>
    </row>
    <row r="101" spans="1:13" ht="15" customHeight="1" outlineLevel="1">
      <c r="A101" s="1"/>
      <c r="B101" s="298"/>
      <c r="C101" s="220"/>
      <c r="D101" s="220"/>
      <c r="E101" s="219"/>
      <c r="F101" s="94"/>
    </row>
    <row r="102" spans="1:13" ht="15" customHeight="1" outlineLevel="1">
      <c r="A102" s="1"/>
    </row>
    <row r="103" spans="1:13" ht="15" customHeight="1" outlineLevel="1">
      <c r="A103" s="540"/>
      <c r="B103" s="478"/>
      <c r="C103" s="478"/>
      <c r="D103" s="478"/>
      <c r="E103" s="478"/>
      <c r="F103" s="478"/>
      <c r="H103" s="210" t="s">
        <v>162</v>
      </c>
      <c r="I103" s="211"/>
      <c r="J103" s="211"/>
      <c r="K103" s="211"/>
      <c r="L103" s="211"/>
    </row>
    <row r="104" spans="1:13" ht="15" customHeight="1" outlineLevel="1">
      <c r="A104" s="540"/>
      <c r="B104" s="541" t="s">
        <v>79</v>
      </c>
      <c r="C104" s="516"/>
      <c r="D104" s="516"/>
      <c r="E104" s="516"/>
      <c r="F104" s="516"/>
      <c r="G104" s="156"/>
      <c r="H104" s="298" t="s">
        <v>10</v>
      </c>
      <c r="I104" s="298"/>
      <c r="J104" s="298"/>
      <c r="K104" s="221" t="s">
        <v>302</v>
      </c>
      <c r="L104" s="187">
        <v>600000</v>
      </c>
    </row>
    <row r="105" spans="1:13" ht="15" customHeight="1" outlineLevel="1">
      <c r="A105" s="540"/>
      <c r="B105" s="504" t="s">
        <v>114</v>
      </c>
      <c r="C105" s="504"/>
      <c r="D105" s="504"/>
      <c r="E105" s="542" t="s">
        <v>148</v>
      </c>
      <c r="F105" s="501">
        <v>34200</v>
      </c>
      <c r="G105" s="156"/>
      <c r="H105" s="298" t="s">
        <v>161</v>
      </c>
      <c r="I105" s="315"/>
      <c r="J105" s="298"/>
      <c r="K105" s="222"/>
      <c r="L105" s="187">
        <v>0</v>
      </c>
    </row>
    <row r="106" spans="1:13" s="110" customFormat="1" ht="15" customHeight="1" outlineLevel="1">
      <c r="A106" s="543"/>
      <c r="B106" s="504" t="s">
        <v>146</v>
      </c>
      <c r="C106" s="504"/>
      <c r="D106" s="504"/>
      <c r="E106" s="542" t="s">
        <v>149</v>
      </c>
      <c r="F106" s="534">
        <v>2.23</v>
      </c>
      <c r="G106" s="156"/>
      <c r="H106" s="298" t="s">
        <v>66</v>
      </c>
      <c r="I106" s="298"/>
      <c r="J106" s="298"/>
      <c r="K106" s="298"/>
      <c r="L106" s="207">
        <v>0.5</v>
      </c>
      <c r="M106" s="109"/>
    </row>
    <row r="107" spans="1:13" s="110" customFormat="1" ht="15" customHeight="1" outlineLevel="1">
      <c r="A107" s="543"/>
      <c r="B107" s="504" t="s">
        <v>83</v>
      </c>
      <c r="C107" s="504"/>
      <c r="D107" s="504"/>
      <c r="E107" s="544"/>
      <c r="F107" s="535">
        <v>0.02</v>
      </c>
      <c r="G107" s="156"/>
      <c r="H107" s="139" t="s">
        <v>52</v>
      </c>
      <c r="I107" s="224"/>
      <c r="J107" s="225"/>
      <c r="K107" s="226"/>
      <c r="L107" s="227">
        <v>0</v>
      </c>
      <c r="M107" s="113"/>
    </row>
    <row r="108" spans="1:13" s="110" customFormat="1" ht="15" customHeight="1" outlineLevel="1">
      <c r="A108" s="543"/>
      <c r="B108" s="504" t="s">
        <v>290</v>
      </c>
      <c r="C108" s="504"/>
      <c r="D108" s="504"/>
      <c r="E108" s="545"/>
      <c r="F108" s="536">
        <v>0</v>
      </c>
      <c r="G108" s="3"/>
      <c r="H108" s="298" t="s">
        <v>65</v>
      </c>
      <c r="I108" s="298"/>
      <c r="J108" s="298"/>
      <c r="K108" s="298"/>
      <c r="L108" s="207">
        <v>0.5</v>
      </c>
      <c r="M108" s="113"/>
    </row>
    <row r="109" spans="1:13" s="110" customFormat="1" ht="15" customHeight="1" outlineLevel="1">
      <c r="A109" s="543"/>
      <c r="B109" s="504" t="s">
        <v>169</v>
      </c>
      <c r="C109" s="504"/>
      <c r="D109" s="504"/>
      <c r="E109" s="544"/>
      <c r="F109" s="535">
        <f>L84</f>
        <v>0.11137741853708437</v>
      </c>
      <c r="G109" s="3"/>
      <c r="H109" s="298" t="s">
        <v>68</v>
      </c>
      <c r="I109" s="298"/>
      <c r="J109" s="298"/>
      <c r="K109" s="221" t="s">
        <v>170</v>
      </c>
      <c r="L109" s="205">
        <v>16</v>
      </c>
      <c r="M109" s="113"/>
    </row>
    <row r="110" spans="1:13" s="110" customFormat="1" ht="15" customHeight="1" outlineLevel="1">
      <c r="A110" s="543"/>
      <c r="B110" s="546" t="s">
        <v>173</v>
      </c>
      <c r="C110" s="537"/>
      <c r="D110" s="544"/>
      <c r="E110" s="538"/>
      <c r="F110" s="539">
        <f>IF(F107&gt;=F109,1,0)</f>
        <v>0</v>
      </c>
      <c r="G110" s="3"/>
      <c r="H110" s="298" t="s">
        <v>69</v>
      </c>
      <c r="I110" s="298"/>
      <c r="J110" s="298"/>
      <c r="K110" s="221" t="s">
        <v>170</v>
      </c>
      <c r="L110" s="205">
        <v>20</v>
      </c>
      <c r="M110" s="113"/>
    </row>
    <row r="111" spans="1:13" s="110" customFormat="1" ht="15" customHeight="1" outlineLevel="1">
      <c r="A111" s="543"/>
      <c r="B111" s="504"/>
      <c r="C111" s="504"/>
      <c r="D111" s="504"/>
      <c r="E111" s="542"/>
      <c r="F111" s="534"/>
      <c r="G111" s="3"/>
      <c r="H111" s="298"/>
      <c r="I111" s="298"/>
      <c r="J111" s="298"/>
      <c r="K111" s="221"/>
      <c r="L111" s="205"/>
      <c r="M111" s="113"/>
    </row>
    <row r="112" spans="1:13" s="110" customFormat="1" ht="15" customHeight="1" outlineLevel="1">
      <c r="A112" s="543"/>
      <c r="B112" s="543"/>
      <c r="C112" s="543"/>
      <c r="D112" s="543"/>
      <c r="E112" s="543"/>
      <c r="F112" s="543"/>
      <c r="G112" s="3"/>
      <c r="H112" s="298"/>
      <c r="I112" s="298"/>
      <c r="J112" s="298"/>
      <c r="K112" s="221"/>
      <c r="L112" s="265"/>
      <c r="M112" s="113"/>
    </row>
    <row r="113" spans="1:12" ht="15" customHeight="1" outlineLevel="1">
      <c r="A113" s="478"/>
      <c r="B113" s="478"/>
      <c r="C113" s="478"/>
      <c r="D113" s="478"/>
      <c r="E113" s="478"/>
      <c r="F113" s="478"/>
      <c r="L113" s="251" t="s">
        <v>217</v>
      </c>
    </row>
    <row r="114" spans="1:12" ht="15" customHeight="1" outlineLevel="1"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0" t="s">
        <v>143</v>
      </c>
    </row>
  </sheetData>
  <conditionalFormatting sqref="B109:C109 F109">
    <cfRule type="containsText" dxfId="25" priority="15" operator="containsText" text="OK">
      <formula>NOT(ISERROR(SEARCH("OK",B109)))</formula>
    </cfRule>
    <cfRule type="containsText" dxfId="24" priority="16" operator="containsText" text="ERROR">
      <formula>NOT(ISERROR(SEARCH("ERROR",B109)))</formula>
    </cfRule>
  </conditionalFormatting>
  <conditionalFormatting sqref="F98:F99 F110">
    <cfRule type="expression" dxfId="23" priority="17">
      <formula>F98=1</formula>
    </cfRule>
  </conditionalFormatting>
  <conditionalFormatting sqref="G6:I34 H2:L2 G38:K39 H41:K43 B62:F62 D63:E63 C71:F71 H89:L89 H94:J97 L104 H104:K105 B105:E106 H106:L106 B107:C107 F107 H107:I107 L107 B108:F108 H108:L112 C110 B111:E111">
    <cfRule type="containsText" dxfId="22" priority="38" operator="containsText" text="OK">
      <formula>NOT(ISERROR(SEARCH("OK",B2)))</formula>
    </cfRule>
  </conditionalFormatting>
  <conditionalFormatting sqref="G22:I23">
    <cfRule type="containsText" dxfId="21" priority="34" operator="containsText" text="OK">
      <formula>NOT(ISERROR(SEARCH("OK",G22)))</formula>
    </cfRule>
    <cfRule type="containsText" dxfId="20" priority="35" operator="containsText" text="ERROR">
      <formula>NOT(ISERROR(SEARCH("ERROR",G22)))</formula>
    </cfRule>
  </conditionalFormatting>
  <conditionalFormatting sqref="G31:I33">
    <cfRule type="containsText" dxfId="19" priority="28" operator="containsText" text="OK">
      <formula>NOT(ISERROR(SEARCH("OK",G31)))</formula>
    </cfRule>
    <cfRule type="containsText" dxfId="18" priority="29" operator="containsText" text="ERROR">
      <formula>NOT(ISERROR(SEARCH("ERROR",G31)))</formula>
    </cfRule>
  </conditionalFormatting>
  <conditionalFormatting sqref="G35:I35 G36 G37:I37">
    <cfRule type="containsText" dxfId="17" priority="8" operator="containsText" text="OK">
      <formula>NOT(ISERROR(SEARCH("OK",G35)))</formula>
    </cfRule>
    <cfRule type="containsText" dxfId="16" priority="9" operator="containsText" text="ERROR">
      <formula>NOT(ISERROR(SEARCH("ERROR",G35)))</formula>
    </cfRule>
  </conditionalFormatting>
  <conditionalFormatting sqref="H86:K86">
    <cfRule type="containsText" dxfId="15" priority="2" operator="containsText" text="OK">
      <formula>NOT(ISERROR(SEARCH("OK",H86)))</formula>
    </cfRule>
    <cfRule type="containsText" dxfId="14" priority="3" operator="containsText" text="ERROR">
      <formula>NOT(ISERROR(SEARCH("ERROR",H86)))</formula>
    </cfRule>
  </conditionalFormatting>
  <conditionalFormatting sqref="H2:L2 G6:I34 G38:K39 H41:K43 B62:F62 D63:E63 C71:F71 H89:L89 H94:J97 L104 H104:K105 B105:E106 H106:L106 B107:C107 F107 H107:I107 L107 B108:F108 H108:L112 C110 B111:E111">
    <cfRule type="containsText" dxfId="13" priority="39" operator="containsText" text="ERROR">
      <formula>NOT(ISERROR(SEARCH("ERROR",B2)))</formula>
    </cfRule>
  </conditionalFormatting>
  <conditionalFormatting sqref="H62:L62">
    <cfRule type="containsText" dxfId="12" priority="22" operator="containsText" text="OK">
      <formula>NOT(ISERROR(SEARCH("OK",H62)))</formula>
    </cfRule>
    <cfRule type="containsText" dxfId="11" priority="23" operator="containsText" text="ERROR">
      <formula>NOT(ISERROR(SEARCH("ERROR",H62)))</formula>
    </cfRule>
  </conditionalFormatting>
  <conditionalFormatting sqref="H71:L71">
    <cfRule type="containsText" dxfId="10" priority="20" operator="containsText" text="OK">
      <formula>NOT(ISERROR(SEARCH("OK",H71)))</formula>
    </cfRule>
    <cfRule type="containsText" dxfId="9" priority="21" operator="containsText" text="ERROR">
      <formula>NOT(ISERROR(SEARCH("ERROR",H71)))</formula>
    </cfRule>
  </conditionalFormatting>
  <conditionalFormatting sqref="H78:L78">
    <cfRule type="containsText" dxfId="8" priority="18" operator="containsText" text="OK">
      <formula>NOT(ISERROR(SEARCH("OK",H78)))</formula>
    </cfRule>
    <cfRule type="containsText" dxfId="7" priority="19" operator="containsText" text="ERROR">
      <formula>NOT(ISERROR(SEARCH("ERROR",H78)))</formula>
    </cfRule>
  </conditionalFormatting>
  <hyperlinks>
    <hyperlink ref="N63" r:id="rId1" xr:uid="{2C9D1097-7E40-4E1B-9322-2995D83A8CDB}"/>
    <hyperlink ref="N65" r:id="rId2" xr:uid="{27F100E8-F2B6-4831-BB1C-788770FE36D5}"/>
  </hyperlinks>
  <printOptions horizontalCentered="1"/>
  <pageMargins left="0.11811023622047245" right="0.11811023622047245" top="0.11811023622047245" bottom="0.11811023622047245" header="0.11811023622047245" footer="0.11811023622047245"/>
  <pageSetup scale="88" orientation="landscape" r:id="rId3"/>
  <headerFooter>
    <oddFooter>&amp;L&amp;"Open Sans,Bold"&amp;10&amp;K002060DCF Valuation Modeling&amp;C&amp;"Open Sans,Bold"&amp;10&amp;K002060Page &amp;P of &amp;N&amp;R&amp;G</oddFooter>
  </headerFooter>
  <drawing r:id="rId4"/>
  <legacyDrawing r:id="rId5"/>
  <legacyDrawingHF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3" r:id="rId7" name="Drop Down 17">
              <controlPr defaultSize="0" autoLine="0" autoPict="0">
                <anchor moveWithCells="1" sizeWithCells="1">
                  <from>
                    <xdr:col>2</xdr:col>
                    <xdr:colOff>523875</xdr:colOff>
                    <xdr:row>6</xdr:row>
                    <xdr:rowOff>0</xdr:rowOff>
                  </from>
                  <to>
                    <xdr:col>3</xdr:col>
                    <xdr:colOff>781050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O482"/>
  <sheetViews>
    <sheetView showGridLines="0" tabSelected="1" zoomScaleNormal="100" zoomScaleSheetLayoutView="140" workbookViewId="0">
      <pane ySplit="1" topLeftCell="A80" activePane="bottomLeft" state="frozen"/>
      <selection activeCell="A3" sqref="A3"/>
      <selection pane="bottomLeft" activeCell="F85" sqref="F85:G85"/>
    </sheetView>
  </sheetViews>
  <sheetFormatPr defaultColWidth="9.140625" defaultRowHeight="15" customHeight="1" outlineLevelRow="2"/>
  <cols>
    <col min="1" max="1" width="9.140625" style="109"/>
    <col min="2" max="2" width="27.7109375" style="109" customWidth="1"/>
    <col min="3" max="3" width="10.5703125" style="109" customWidth="1"/>
    <col min="4" max="4" width="15.7109375" style="109" customWidth="1"/>
    <col min="5" max="5" width="1.7109375" style="109" customWidth="1"/>
    <col min="6" max="6" width="11.7109375" style="109" customWidth="1"/>
    <col min="7" max="14" width="10.28515625" style="109" customWidth="1"/>
    <col min="15" max="15" width="1.7109375" style="109" customWidth="1"/>
    <col min="16" max="16384" width="9.140625" style="109"/>
  </cols>
  <sheetData>
    <row r="1" spans="1:15" ht="50.1" customHeight="1">
      <c r="A1" s="12"/>
      <c r="B1" s="533"/>
      <c r="C1" s="412"/>
      <c r="D1" s="412"/>
      <c r="E1" s="412"/>
      <c r="F1" s="412"/>
      <c r="G1" s="412"/>
      <c r="H1" s="412"/>
      <c r="I1" s="412"/>
      <c r="J1" s="412"/>
      <c r="K1" s="412"/>
      <c r="L1" s="412"/>
      <c r="M1" s="412"/>
      <c r="N1" s="412"/>
    </row>
    <row r="2" spans="1:15" ht="15" customHeight="1">
      <c r="A2" s="1"/>
      <c r="B2" s="282"/>
      <c r="C2" s="283"/>
      <c r="D2" s="284"/>
      <c r="E2" s="284"/>
      <c r="F2" s="281"/>
      <c r="G2" s="281"/>
      <c r="H2" s="281"/>
      <c r="I2" s="281"/>
      <c r="J2" s="281"/>
      <c r="K2" s="281"/>
      <c r="L2" s="281"/>
      <c r="M2" s="281"/>
      <c r="N2" s="281"/>
      <c r="O2" s="42"/>
    </row>
    <row r="3" spans="1:15" ht="15" customHeight="1">
      <c r="A3" s="1" t="s">
        <v>143</v>
      </c>
      <c r="B3" s="417" t="s">
        <v>18</v>
      </c>
      <c r="C3" s="413"/>
      <c r="D3" s="414"/>
      <c r="E3" s="414"/>
      <c r="F3" s="415"/>
      <c r="G3" s="415"/>
      <c r="H3" s="415"/>
      <c r="I3" s="415"/>
      <c r="J3" s="415"/>
      <c r="K3" s="415"/>
      <c r="L3" s="418"/>
      <c r="M3" s="415"/>
      <c r="N3" s="416"/>
    </row>
    <row r="4" spans="1:15" ht="15" customHeight="1" outlineLevel="1">
      <c r="A4" s="147"/>
      <c r="B4" s="108"/>
      <c r="C4" s="7"/>
      <c r="D4" s="8"/>
      <c r="E4" s="8"/>
      <c r="F4" s="8"/>
      <c r="G4" s="9"/>
      <c r="H4" s="9"/>
      <c r="I4" s="9"/>
      <c r="J4" s="9"/>
      <c r="K4" s="9"/>
      <c r="L4" s="9"/>
      <c r="M4" s="230"/>
    </row>
    <row r="5" spans="1:15" ht="15" customHeight="1" outlineLevel="1" thickBot="1">
      <c r="A5" s="1"/>
      <c r="B5" s="10" t="s">
        <v>19</v>
      </c>
      <c r="C5" s="7"/>
      <c r="D5" s="11"/>
      <c r="E5" s="11"/>
      <c r="F5" s="106" t="s">
        <v>291</v>
      </c>
      <c r="G5" s="106">
        <f>Inputs!G5</f>
        <v>1</v>
      </c>
      <c r="H5" s="106">
        <f>Inputs!H5</f>
        <v>2</v>
      </c>
      <c r="I5" s="102">
        <f>H5+1</f>
        <v>3</v>
      </c>
      <c r="J5" s="102">
        <f>I5+1</f>
        <v>4</v>
      </c>
      <c r="K5" s="458">
        <f>J5+1</f>
        <v>5</v>
      </c>
      <c r="L5" s="458">
        <f>K5+1</f>
        <v>6</v>
      </c>
      <c r="M5" s="458" t="s">
        <v>78</v>
      </c>
    </row>
    <row r="6" spans="1:15" ht="15" customHeight="1" outlineLevel="1">
      <c r="A6" s="1"/>
      <c r="B6" s="10" t="str">
        <f>IF(Inputs!D7=1,Inputs!B12,IF(Inputs!D7=2,Inputs!B13,Inputs!B14))</f>
        <v>Best Case</v>
      </c>
      <c r="C6" s="7"/>
      <c r="D6" s="11"/>
      <c r="E6" s="11"/>
      <c r="F6" s="11"/>
      <c r="G6" s="11"/>
      <c r="H6" s="39"/>
      <c r="I6" s="39"/>
      <c r="J6" s="39"/>
      <c r="K6" s="458"/>
      <c r="L6" s="458"/>
      <c r="M6" s="458"/>
    </row>
    <row r="7" spans="1:15" ht="15" customHeight="1" outlineLevel="1">
      <c r="A7" s="1"/>
      <c r="C7" s="7"/>
      <c r="D7" s="11"/>
      <c r="E7" s="11"/>
      <c r="F7" s="11"/>
      <c r="G7" s="11"/>
      <c r="H7" s="39"/>
      <c r="I7" s="39"/>
      <c r="J7" s="39"/>
      <c r="K7" s="458"/>
      <c r="L7" s="458"/>
      <c r="M7" s="458"/>
    </row>
    <row r="8" spans="1:15" s="12" customFormat="1" ht="15" customHeight="1" outlineLevel="1">
      <c r="B8" s="145" t="s">
        <v>1</v>
      </c>
      <c r="C8" s="246">
        <f>Inputs!$F$100</f>
        <v>365</v>
      </c>
      <c r="D8" s="301"/>
      <c r="E8" s="14"/>
      <c r="F8" s="182">
        <v>365</v>
      </c>
      <c r="G8" s="182">
        <v>365</v>
      </c>
      <c r="H8" s="185">
        <f>$C$8</f>
        <v>365</v>
      </c>
      <c r="I8" s="185">
        <f t="shared" ref="I8:M8" si="0">$C$8</f>
        <v>365</v>
      </c>
      <c r="J8" s="185">
        <f t="shared" si="0"/>
        <v>365</v>
      </c>
      <c r="K8" s="459">
        <f t="shared" si="0"/>
        <v>365</v>
      </c>
      <c r="L8" s="459">
        <f t="shared" si="0"/>
        <v>365</v>
      </c>
      <c r="M8" s="459">
        <f t="shared" si="0"/>
        <v>365</v>
      </c>
    </row>
    <row r="9" spans="1:15" ht="15" customHeight="1" outlineLevel="1">
      <c r="A9" s="5"/>
      <c r="B9" s="65" t="s">
        <v>10</v>
      </c>
      <c r="C9" s="176">
        <v>600000</v>
      </c>
      <c r="D9" s="301"/>
      <c r="E9" s="11"/>
      <c r="F9" s="11"/>
      <c r="G9" s="30"/>
      <c r="H9" s="30"/>
      <c r="I9" s="30"/>
      <c r="J9" s="30"/>
      <c r="K9" s="459"/>
      <c r="L9" s="459"/>
      <c r="M9" s="459"/>
    </row>
    <row r="10" spans="1:15" ht="15" customHeight="1" outlineLevel="1">
      <c r="A10" s="5"/>
      <c r="B10" s="419" t="s">
        <v>232</v>
      </c>
      <c r="C10" s="420">
        <v>0.05</v>
      </c>
      <c r="D10" s="11"/>
      <c r="E10" s="11"/>
      <c r="F10" s="11"/>
      <c r="G10" s="11"/>
      <c r="H10" s="5"/>
      <c r="I10" s="5"/>
      <c r="J10" s="5"/>
      <c r="K10" s="460"/>
      <c r="L10" s="460"/>
      <c r="M10" s="460"/>
    </row>
    <row r="11" spans="1:15" ht="15" customHeight="1" outlineLevel="1">
      <c r="A11" s="5"/>
      <c r="B11" s="10"/>
      <c r="C11" s="7"/>
      <c r="D11" s="11"/>
      <c r="E11" s="11"/>
      <c r="F11" s="11"/>
      <c r="G11" s="11"/>
      <c r="H11" s="5"/>
      <c r="I11" s="5"/>
      <c r="J11" s="5"/>
      <c r="K11" s="460"/>
      <c r="L11" s="460"/>
      <c r="M11" s="460"/>
    </row>
    <row r="12" spans="1:15" s="12" customFormat="1" ht="15" customHeight="1" outlineLevel="1">
      <c r="B12" s="16" t="s">
        <v>127</v>
      </c>
      <c r="C12" s="21"/>
      <c r="D12" s="22"/>
      <c r="E12" s="14"/>
      <c r="F12" s="14"/>
      <c r="G12" s="20"/>
      <c r="H12" s="5"/>
      <c r="I12" s="5"/>
      <c r="J12" s="5"/>
      <c r="K12" s="460"/>
      <c r="L12" s="460"/>
      <c r="M12" s="460"/>
    </row>
    <row r="13" spans="1:15" s="12" customFormat="1" ht="15" customHeight="1" outlineLevel="1">
      <c r="B13" s="13"/>
      <c r="C13" s="21"/>
      <c r="D13" s="22"/>
      <c r="E13" s="14"/>
      <c r="F13" s="14"/>
      <c r="G13" s="20"/>
      <c r="H13" s="20"/>
      <c r="I13" s="20"/>
      <c r="J13" s="20"/>
      <c r="K13" s="461"/>
      <c r="L13" s="461"/>
      <c r="M13" s="461"/>
    </row>
    <row r="14" spans="1:15" ht="15" customHeight="1" outlineLevel="1">
      <c r="A14" s="5"/>
      <c r="B14" s="107" t="s">
        <v>11</v>
      </c>
      <c r="C14" s="7"/>
      <c r="D14" s="11"/>
      <c r="E14" s="11"/>
      <c r="F14" s="11"/>
      <c r="G14" s="29">
        <v>0</v>
      </c>
      <c r="H14" s="29">
        <f>Inputs!G10</f>
        <v>0.1</v>
      </c>
      <c r="I14" s="29">
        <f>Inputs!H10</f>
        <v>0.1</v>
      </c>
      <c r="J14" s="29">
        <f>Inputs!I10</f>
        <v>0.1</v>
      </c>
      <c r="K14" s="462" t="e">
        <f>Inputs!#REF!</f>
        <v>#REF!</v>
      </c>
      <c r="L14" s="462" t="e">
        <f>Inputs!#REF!</f>
        <v>#REF!</v>
      </c>
      <c r="M14" s="462">
        <f>Inputs!J10</f>
        <v>0.1</v>
      </c>
    </row>
    <row r="15" spans="1:15" ht="15" customHeight="1" outlineLevel="1">
      <c r="A15" s="5"/>
      <c r="B15" s="107"/>
      <c r="C15" s="7"/>
      <c r="D15" s="11"/>
      <c r="E15" s="11"/>
      <c r="F15" s="11"/>
      <c r="G15" s="29"/>
      <c r="H15" s="81"/>
      <c r="I15" s="81"/>
      <c r="J15" s="81"/>
      <c r="K15" s="462"/>
      <c r="L15" s="462"/>
      <c r="M15" s="462"/>
    </row>
    <row r="16" spans="1:15" ht="15" customHeight="1" outlineLevel="1">
      <c r="A16" s="5"/>
      <c r="B16" s="107" t="s">
        <v>12</v>
      </c>
      <c r="C16" s="7"/>
      <c r="D16" s="22" t="s">
        <v>292</v>
      </c>
      <c r="E16" s="11"/>
      <c r="F16" s="40">
        <v>800000</v>
      </c>
      <c r="G16" s="40">
        <v>600000</v>
      </c>
      <c r="H16" s="30">
        <f>G16*(1+H14)</f>
        <v>660000</v>
      </c>
      <c r="I16" s="30">
        <f>H16*(1+I14)</f>
        <v>726000.00000000012</v>
      </c>
      <c r="J16" s="30">
        <f t="shared" ref="J16:L16" si="1">I16*(1+J14)</f>
        <v>798600.00000000023</v>
      </c>
      <c r="K16" s="459" t="e">
        <f t="shared" si="1"/>
        <v>#REF!</v>
      </c>
      <c r="L16" s="459" t="e">
        <f t="shared" si="1"/>
        <v>#REF!</v>
      </c>
      <c r="M16" s="459" t="e">
        <f>L16*(1+M14)</f>
        <v>#REF!</v>
      </c>
    </row>
    <row r="17" spans="1:13" s="12" customFormat="1" ht="15" customHeight="1" outlineLevel="1">
      <c r="B17" s="107" t="s">
        <v>10</v>
      </c>
      <c r="C17" s="21"/>
      <c r="D17" s="22" t="s">
        <v>292</v>
      </c>
      <c r="E17" s="14"/>
      <c r="F17" s="40">
        <f>F16</f>
        <v>800000</v>
      </c>
      <c r="G17" s="40">
        <f>$C$9</f>
        <v>600000</v>
      </c>
      <c r="H17" s="547">
        <f>H16+H16*$C$10</f>
        <v>693000</v>
      </c>
      <c r="I17" s="547">
        <f>I16+I16*$C$10</f>
        <v>762300.00000000012</v>
      </c>
      <c r="J17" s="547">
        <f>J16+J16*$C$10</f>
        <v>838530.00000000023</v>
      </c>
      <c r="K17" s="459" t="e">
        <f>K16+K16*$C$10</f>
        <v>#REF!</v>
      </c>
      <c r="L17" s="459" t="e">
        <f>L16+L16*$C$10</f>
        <v>#REF!</v>
      </c>
      <c r="M17" s="465" t="e">
        <f>M16+C10*M16</f>
        <v>#REF!</v>
      </c>
    </row>
    <row r="18" spans="1:13" s="12" customFormat="1" ht="15" customHeight="1" outlineLevel="1">
      <c r="B18" s="107" t="s">
        <v>13</v>
      </c>
      <c r="C18" s="7"/>
      <c r="D18" s="11"/>
      <c r="E18" s="11"/>
      <c r="F18" s="184">
        <f t="shared" ref="F18:M18" si="2">F16/F17</f>
        <v>1</v>
      </c>
      <c r="G18" s="184">
        <f t="shared" si="2"/>
        <v>1</v>
      </c>
      <c r="H18" s="184">
        <f t="shared" si="2"/>
        <v>0.95238095238095233</v>
      </c>
      <c r="I18" s="184">
        <f t="shared" si="2"/>
        <v>0.95238095238095244</v>
      </c>
      <c r="J18" s="184">
        <f t="shared" si="2"/>
        <v>0.95238095238095244</v>
      </c>
      <c r="K18" s="462" t="e">
        <f t="shared" si="2"/>
        <v>#REF!</v>
      </c>
      <c r="L18" s="462" t="e">
        <f t="shared" si="2"/>
        <v>#REF!</v>
      </c>
      <c r="M18" s="466" t="e">
        <f t="shared" si="2"/>
        <v>#REF!</v>
      </c>
    </row>
    <row r="19" spans="1:13" ht="15" customHeight="1" outlineLevel="1">
      <c r="A19" s="5"/>
      <c r="C19" s="7"/>
      <c r="D19" s="22"/>
      <c r="E19" s="11"/>
      <c r="F19" s="11"/>
      <c r="G19" s="30"/>
      <c r="H19" s="30"/>
      <c r="I19" s="30"/>
      <c r="J19" s="30"/>
      <c r="K19" s="459"/>
      <c r="L19" s="459"/>
      <c r="M19" s="459"/>
    </row>
    <row r="20" spans="1:13" ht="15" customHeight="1" outlineLevel="1">
      <c r="A20" s="5"/>
      <c r="B20" s="150"/>
      <c r="C20" s="33"/>
      <c r="D20" s="37"/>
      <c r="E20" s="34"/>
      <c r="F20" s="34"/>
      <c r="G20" s="31"/>
      <c r="H20" s="31"/>
      <c r="I20" s="31"/>
      <c r="J20" s="31"/>
      <c r="K20" s="459"/>
      <c r="L20" s="459"/>
      <c r="M20" s="459"/>
    </row>
    <row r="21" spans="1:13" ht="15" customHeight="1" outlineLevel="1">
      <c r="A21" s="5"/>
      <c r="B21" s="10"/>
      <c r="C21" s="7"/>
      <c r="D21" s="11"/>
      <c r="E21" s="11"/>
      <c r="F21" s="11"/>
      <c r="G21" s="11"/>
      <c r="H21" s="5"/>
      <c r="I21" s="5"/>
      <c r="J21" s="5"/>
      <c r="K21" s="460"/>
      <c r="L21" s="460"/>
      <c r="M21" s="460"/>
    </row>
    <row r="22" spans="1:13" ht="15" customHeight="1" outlineLevel="1">
      <c r="A22" s="5"/>
      <c r="B22" s="10"/>
      <c r="C22" s="7"/>
      <c r="D22" s="11"/>
      <c r="E22" s="11"/>
      <c r="F22" s="11"/>
      <c r="G22" s="11"/>
      <c r="H22" s="5"/>
      <c r="I22" s="5"/>
      <c r="J22" s="5"/>
      <c r="K22" s="460"/>
      <c r="L22" s="460"/>
      <c r="M22" s="460"/>
    </row>
    <row r="23" spans="1:13" s="12" customFormat="1" ht="15" customHeight="1" outlineLevel="1">
      <c r="B23" s="16" t="s">
        <v>119</v>
      </c>
      <c r="C23" s="21"/>
      <c r="D23" s="22"/>
      <c r="E23" s="22"/>
      <c r="F23" s="22"/>
      <c r="G23" s="22"/>
      <c r="H23" s="22"/>
      <c r="I23" s="22"/>
      <c r="J23" s="22"/>
      <c r="K23" s="463"/>
      <c r="L23" s="459"/>
      <c r="M23" s="460"/>
    </row>
    <row r="24" spans="1:13" s="12" customFormat="1" ht="15" customHeight="1" outlineLevel="1">
      <c r="B24" s="13"/>
      <c r="C24" s="21"/>
      <c r="D24" s="22"/>
      <c r="E24" s="14"/>
      <c r="F24" s="20"/>
      <c r="G24" s="20"/>
      <c r="H24" s="20"/>
      <c r="I24" s="20"/>
      <c r="J24" s="20"/>
      <c r="K24" s="461"/>
      <c r="L24" s="461"/>
      <c r="M24" s="459"/>
    </row>
    <row r="25" spans="1:13" ht="15" customHeight="1" outlineLevel="1">
      <c r="A25" s="5"/>
      <c r="B25" s="107" t="s">
        <v>17</v>
      </c>
      <c r="C25" s="7"/>
      <c r="D25" s="11"/>
      <c r="E25" s="11"/>
      <c r="F25" s="143"/>
      <c r="G25" s="143"/>
      <c r="H25" s="143">
        <f>Inputs!G17</f>
        <v>0.15</v>
      </c>
      <c r="I25" s="143">
        <f>Inputs!H17</f>
        <v>0.15</v>
      </c>
      <c r="J25" s="143">
        <f>Inputs!I17</f>
        <v>0.15</v>
      </c>
      <c r="K25" s="462" t="e">
        <f>Inputs!#REF!</f>
        <v>#REF!</v>
      </c>
      <c r="L25" s="462" t="e">
        <f>Inputs!#REF!</f>
        <v>#REF!</v>
      </c>
      <c r="M25" s="462">
        <f>Inputs!J17</f>
        <v>0.15</v>
      </c>
    </row>
    <row r="26" spans="1:13" ht="15" customHeight="1" outlineLevel="1">
      <c r="A26" s="5"/>
      <c r="B26" s="107" t="s">
        <v>15</v>
      </c>
      <c r="C26" s="7"/>
      <c r="D26" s="22" t="s">
        <v>292</v>
      </c>
      <c r="E26" s="11"/>
      <c r="F26" s="79">
        <v>500</v>
      </c>
      <c r="G26" s="79">
        <v>650</v>
      </c>
      <c r="H26" s="80">
        <f>G26*(1+H25)</f>
        <v>747.49999999999989</v>
      </c>
      <c r="I26" s="80">
        <f t="shared" ref="I26:L26" si="3">H26*(1+I25)</f>
        <v>859.62499999999977</v>
      </c>
      <c r="J26" s="80">
        <f t="shared" si="3"/>
        <v>988.56874999999968</v>
      </c>
      <c r="K26" s="464" t="e">
        <f t="shared" si="3"/>
        <v>#REF!</v>
      </c>
      <c r="L26" s="464" t="e">
        <f t="shared" si="3"/>
        <v>#REF!</v>
      </c>
      <c r="M26" s="464" t="e">
        <f>L26*(1+M25)</f>
        <v>#REF!</v>
      </c>
    </row>
    <row r="27" spans="1:13" ht="15" customHeight="1" outlineLevel="1">
      <c r="A27" s="5"/>
      <c r="C27" s="7"/>
      <c r="D27" s="22"/>
      <c r="E27" s="11"/>
      <c r="F27" s="11"/>
      <c r="G27" s="79"/>
      <c r="H27" s="80"/>
      <c r="I27" s="80"/>
      <c r="J27" s="80"/>
      <c r="K27" s="464"/>
      <c r="L27" s="464"/>
      <c r="M27" s="464"/>
    </row>
    <row r="28" spans="1:13" ht="15" customHeight="1" outlineLevel="1">
      <c r="A28" s="5"/>
      <c r="C28" s="7"/>
      <c r="D28" s="22"/>
      <c r="E28" s="11"/>
      <c r="F28" s="11"/>
      <c r="G28" s="79"/>
      <c r="H28" s="80"/>
      <c r="I28" s="80"/>
      <c r="J28" s="80"/>
      <c r="K28" s="464"/>
      <c r="L28" s="464"/>
      <c r="M28" s="464"/>
    </row>
    <row r="29" spans="1:13" s="12" customFormat="1" ht="15" customHeight="1" outlineLevel="1">
      <c r="B29" s="16" t="s">
        <v>118</v>
      </c>
      <c r="C29" s="21"/>
      <c r="D29" s="22"/>
      <c r="E29" s="14"/>
      <c r="F29" s="14"/>
      <c r="G29" s="20"/>
      <c r="H29" s="20"/>
      <c r="I29" s="20"/>
      <c r="J29" s="20"/>
      <c r="K29" s="461"/>
      <c r="L29" s="461"/>
      <c r="M29" s="461"/>
    </row>
    <row r="30" spans="1:13" s="12" customFormat="1" ht="15" customHeight="1" outlineLevel="1">
      <c r="B30" s="13"/>
      <c r="C30" s="21"/>
      <c r="D30" s="22"/>
      <c r="E30" s="14"/>
      <c r="F30" s="14"/>
      <c r="G30" s="20"/>
      <c r="H30" s="20"/>
      <c r="I30" s="20"/>
      <c r="J30" s="20"/>
      <c r="K30" s="461"/>
      <c r="L30" s="461"/>
      <c r="M30" s="461"/>
    </row>
    <row r="31" spans="1:13" ht="15" customHeight="1" outlineLevel="1">
      <c r="A31" s="5"/>
      <c r="B31" s="107" t="s">
        <v>12</v>
      </c>
      <c r="C31" s="7"/>
      <c r="D31" s="22" t="s">
        <v>14</v>
      </c>
      <c r="E31" s="11"/>
      <c r="F31" s="30">
        <f>F16</f>
        <v>800000</v>
      </c>
      <c r="G31" s="30">
        <f>G16</f>
        <v>600000</v>
      </c>
      <c r="H31" s="30">
        <f t="shared" ref="H31:M31" si="4">H16</f>
        <v>660000</v>
      </c>
      <c r="I31" s="30">
        <f t="shared" si="4"/>
        <v>726000.00000000012</v>
      </c>
      <c r="J31" s="30">
        <f t="shared" si="4"/>
        <v>798600.00000000023</v>
      </c>
      <c r="K31" s="459" t="e">
        <f t="shared" si="4"/>
        <v>#REF!</v>
      </c>
      <c r="L31" s="459" t="e">
        <f t="shared" si="4"/>
        <v>#REF!</v>
      </c>
      <c r="M31" s="459" t="e">
        <f t="shared" si="4"/>
        <v>#REF!</v>
      </c>
    </row>
    <row r="32" spans="1:13" ht="15" customHeight="1" outlineLevel="1">
      <c r="A32" s="5"/>
      <c r="B32" s="107" t="s">
        <v>70</v>
      </c>
      <c r="C32" s="7"/>
      <c r="D32" s="22" t="s">
        <v>16</v>
      </c>
      <c r="E32" s="11"/>
      <c r="F32" s="35">
        <f t="shared" ref="F32:G32" si="5">F26</f>
        <v>500</v>
      </c>
      <c r="G32" s="35">
        <f t="shared" si="5"/>
        <v>650</v>
      </c>
      <c r="H32" s="35">
        <f t="shared" ref="H32:M32" si="6">H26</f>
        <v>747.49999999999989</v>
      </c>
      <c r="I32" s="35">
        <f t="shared" si="6"/>
        <v>859.62499999999977</v>
      </c>
      <c r="J32" s="35">
        <f t="shared" si="6"/>
        <v>988.56874999999968</v>
      </c>
      <c r="K32" s="464" t="e">
        <f t="shared" si="6"/>
        <v>#REF!</v>
      </c>
      <c r="L32" s="464" t="e">
        <f t="shared" si="6"/>
        <v>#REF!</v>
      </c>
      <c r="M32" s="464" t="e">
        <f t="shared" si="6"/>
        <v>#REF!</v>
      </c>
    </row>
    <row r="33" spans="1:15" ht="15" customHeight="1" outlineLevel="1" thickBot="1">
      <c r="A33" s="5"/>
      <c r="B33" s="107" t="s">
        <v>0</v>
      </c>
      <c r="C33" s="7"/>
      <c r="D33" s="22"/>
      <c r="E33" s="11"/>
      <c r="F33" s="343">
        <f t="shared" ref="F33" si="7">F31*F32/1000</f>
        <v>400000</v>
      </c>
      <c r="G33" s="343">
        <f t="shared" ref="G33:L33" si="8">G31*G32/1000</f>
        <v>390000</v>
      </c>
      <c r="H33" s="343">
        <f t="shared" si="8"/>
        <v>493349.99999999994</v>
      </c>
      <c r="I33" s="343">
        <f t="shared" si="8"/>
        <v>624087.74999999988</v>
      </c>
      <c r="J33" s="343">
        <f t="shared" si="8"/>
        <v>789471.00375000003</v>
      </c>
      <c r="K33" s="467" t="e">
        <f t="shared" si="8"/>
        <v>#REF!</v>
      </c>
      <c r="L33" s="467" t="e">
        <f t="shared" si="8"/>
        <v>#REF!</v>
      </c>
      <c r="M33" s="467" t="e">
        <f>M31*M32/1000</f>
        <v>#REF!</v>
      </c>
    </row>
    <row r="34" spans="1:15" ht="15" customHeight="1" outlineLevel="1">
      <c r="A34" s="5"/>
      <c r="C34" s="7"/>
      <c r="D34" s="22"/>
      <c r="E34" s="11"/>
      <c r="F34" s="11"/>
      <c r="G34" s="30"/>
      <c r="H34" s="30"/>
      <c r="I34" s="30"/>
      <c r="J34" s="30"/>
      <c r="K34" s="459"/>
      <c r="L34" s="459"/>
      <c r="M34" s="459"/>
    </row>
    <row r="35" spans="1:15" ht="15" customHeight="1" outlineLevel="1">
      <c r="A35" s="5"/>
      <c r="C35" s="7"/>
      <c r="D35" s="22"/>
      <c r="E35" s="11"/>
      <c r="F35" s="11"/>
      <c r="G35" s="30"/>
      <c r="H35" s="30"/>
      <c r="I35" s="30"/>
      <c r="J35" s="30"/>
      <c r="K35" s="459"/>
      <c r="L35" s="459"/>
      <c r="M35" s="459"/>
    </row>
    <row r="36" spans="1:15" ht="15" customHeight="1" outlineLevel="1">
      <c r="A36" s="5"/>
      <c r="B36" s="13" t="s">
        <v>195</v>
      </c>
      <c r="C36" s="7"/>
      <c r="D36" s="149"/>
      <c r="E36" s="11"/>
      <c r="F36" s="256">
        <f>IF(F18&gt;=1,1,0)</f>
        <v>1</v>
      </c>
      <c r="G36" s="256">
        <f>IF(G18&gt;=1,1,0)</f>
        <v>1</v>
      </c>
      <c r="H36" s="256">
        <f t="shared" ref="H36:M36" si="9">IF(H18&gt;=1,1,0)</f>
        <v>0</v>
      </c>
      <c r="I36" s="256">
        <f t="shared" si="9"/>
        <v>0</v>
      </c>
      <c r="J36" s="256">
        <f t="shared" si="9"/>
        <v>0</v>
      </c>
      <c r="K36" s="468" t="e">
        <f t="shared" si="9"/>
        <v>#REF!</v>
      </c>
      <c r="L36" s="468" t="e">
        <f t="shared" si="9"/>
        <v>#REF!</v>
      </c>
      <c r="M36" s="468" t="e">
        <f t="shared" si="9"/>
        <v>#REF!</v>
      </c>
    </row>
    <row r="37" spans="1:15" ht="15" customHeight="1" outlineLevel="1">
      <c r="A37" s="5"/>
      <c r="B37" s="10"/>
      <c r="C37" s="7"/>
      <c r="D37" s="11"/>
      <c r="E37" s="11"/>
      <c r="F37" s="152"/>
      <c r="G37" s="213"/>
      <c r="H37" s="213"/>
      <c r="I37" s="213"/>
      <c r="J37" s="5"/>
      <c r="K37" s="5"/>
      <c r="L37" s="212"/>
    </row>
    <row r="38" spans="1:15" ht="15" customHeight="1" outlineLevel="1">
      <c r="B38" s="150"/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</row>
    <row r="39" spans="1:15" s="12" customFormat="1" ht="15" customHeight="1"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45"/>
    </row>
    <row r="40" spans="1:15" ht="15" customHeight="1">
      <c r="A40" s="12" t="s">
        <v>143</v>
      </c>
      <c r="B40" s="417" t="s">
        <v>20</v>
      </c>
      <c r="C40" s="413"/>
      <c r="D40" s="414"/>
      <c r="E40" s="414"/>
      <c r="F40" s="415"/>
      <c r="G40" s="415"/>
      <c r="H40" s="415"/>
      <c r="I40" s="415"/>
      <c r="J40" s="415"/>
      <c r="K40" s="415"/>
      <c r="L40" s="418"/>
      <c r="M40" s="415"/>
      <c r="N40" s="416"/>
      <c r="O40" s="42"/>
    </row>
    <row r="41" spans="1:15" ht="15" customHeight="1" outlineLevel="1">
      <c r="A41" s="12"/>
      <c r="B41" s="6"/>
      <c r="C41" s="7"/>
      <c r="D41" s="8"/>
      <c r="E41" s="8"/>
      <c r="F41" s="9"/>
      <c r="G41" s="9"/>
      <c r="H41" s="9"/>
      <c r="I41" s="9"/>
      <c r="J41" s="9"/>
      <c r="K41" s="9"/>
      <c r="L41" s="9"/>
      <c r="M41" s="9"/>
      <c r="N41" s="9"/>
    </row>
    <row r="42" spans="1:15" ht="15" customHeight="1" outlineLevel="1" thickBot="1">
      <c r="A42" s="12"/>
      <c r="B42" s="10" t="s">
        <v>19</v>
      </c>
      <c r="C42" s="7"/>
      <c r="D42" s="11"/>
      <c r="E42" s="11"/>
      <c r="F42" s="106" t="s">
        <v>291</v>
      </c>
      <c r="G42" s="106">
        <f t="shared" ref="G42:M42" si="10">G$5</f>
        <v>1</v>
      </c>
      <c r="H42" s="102">
        <f t="shared" si="10"/>
        <v>2</v>
      </c>
      <c r="I42" s="102">
        <f t="shared" si="10"/>
        <v>3</v>
      </c>
      <c r="J42" s="102">
        <f t="shared" si="10"/>
        <v>4</v>
      </c>
      <c r="K42" s="458">
        <f t="shared" si="10"/>
        <v>5</v>
      </c>
      <c r="L42" s="458">
        <f t="shared" si="10"/>
        <v>6</v>
      </c>
      <c r="M42" s="458" t="str">
        <f t="shared" si="10"/>
        <v>Term</v>
      </c>
    </row>
    <row r="43" spans="1:15" ht="15" customHeight="1" outlineLevel="1">
      <c r="A43" s="12"/>
      <c r="B43" s="10" t="str">
        <f>$B$6</f>
        <v>Best Case</v>
      </c>
      <c r="C43" s="7"/>
      <c r="D43" s="11"/>
      <c r="E43" s="11"/>
      <c r="F43" s="11"/>
      <c r="G43" s="11"/>
      <c r="H43" s="39"/>
      <c r="I43" s="39"/>
      <c r="J43" s="39"/>
      <c r="K43" s="458"/>
      <c r="L43" s="458"/>
      <c r="M43" s="458"/>
    </row>
    <row r="44" spans="1:15" ht="15" customHeight="1" outlineLevel="1">
      <c r="A44" s="12"/>
      <c r="B44" s="10"/>
      <c r="C44" s="7"/>
      <c r="D44" s="11"/>
      <c r="E44" s="11"/>
      <c r="F44" s="11"/>
      <c r="G44" s="11"/>
      <c r="H44" s="5"/>
      <c r="I44" s="5"/>
      <c r="J44" s="5"/>
      <c r="K44" s="460"/>
      <c r="L44" s="460"/>
      <c r="M44" s="478"/>
    </row>
    <row r="45" spans="1:15" ht="15" customHeight="1" outlineLevel="1">
      <c r="A45" s="12"/>
      <c r="B45" s="13" t="s">
        <v>12</v>
      </c>
      <c r="C45" s="7"/>
      <c r="D45" s="22"/>
      <c r="E45" s="11"/>
      <c r="F45" s="142">
        <v>800000</v>
      </c>
      <c r="G45" s="142">
        <f t="shared" ref="G45:M45" si="11">G31</f>
        <v>600000</v>
      </c>
      <c r="H45" s="142">
        <f>H31</f>
        <v>660000</v>
      </c>
      <c r="I45" s="142">
        <f t="shared" si="11"/>
        <v>726000.00000000012</v>
      </c>
      <c r="J45" s="142">
        <f t="shared" si="11"/>
        <v>798600.00000000023</v>
      </c>
      <c r="K45" s="459" t="e">
        <f t="shared" si="11"/>
        <v>#REF!</v>
      </c>
      <c r="L45" s="459" t="e">
        <f t="shared" si="11"/>
        <v>#REF!</v>
      </c>
      <c r="M45" s="459" t="e">
        <f t="shared" si="11"/>
        <v>#REF!</v>
      </c>
    </row>
    <row r="46" spans="1:15" ht="15" customHeight="1" outlineLevel="1">
      <c r="A46" s="12"/>
      <c r="B46" s="13" t="s">
        <v>23</v>
      </c>
      <c r="C46" s="7"/>
      <c r="D46" s="11"/>
      <c r="E46" s="11"/>
      <c r="F46" s="119"/>
      <c r="G46" s="119">
        <v>3.5000000000000003E-2</v>
      </c>
      <c r="H46" s="143">
        <f>Inputs!G31</f>
        <v>3.5000000000000003E-2</v>
      </c>
      <c r="I46" s="143">
        <f>Inputs!H31</f>
        <v>0.03</v>
      </c>
      <c r="J46" s="143">
        <f>Inputs!I31</f>
        <v>0.03</v>
      </c>
      <c r="K46" s="462" t="e">
        <f>Inputs!#REF!</f>
        <v>#REF!</v>
      </c>
      <c r="L46" s="462" t="e">
        <f>Inputs!#REF!</f>
        <v>#REF!</v>
      </c>
      <c r="M46" s="462">
        <f>Inputs!J31</f>
        <v>1.4999999999999999E-2</v>
      </c>
    </row>
    <row r="47" spans="1:15" ht="15" customHeight="1" outlineLevel="1">
      <c r="A47" s="12"/>
      <c r="B47" s="13"/>
      <c r="C47" s="7"/>
      <c r="D47" s="11"/>
      <c r="E47" s="11"/>
      <c r="F47" s="118"/>
      <c r="G47" s="118"/>
      <c r="H47" s="29"/>
      <c r="I47" s="29"/>
      <c r="J47" s="29"/>
      <c r="K47" s="462"/>
      <c r="L47" s="462"/>
      <c r="M47" s="462"/>
    </row>
    <row r="48" spans="1:15" s="12" customFormat="1" ht="15" customHeight="1" outlineLevel="1">
      <c r="B48" s="16" t="s">
        <v>129</v>
      </c>
      <c r="C48" s="21"/>
      <c r="D48" s="22"/>
      <c r="E48" s="14"/>
      <c r="F48" s="129"/>
      <c r="G48" s="129"/>
      <c r="H48" s="20"/>
      <c r="I48" s="20"/>
      <c r="J48" s="20"/>
      <c r="K48" s="461"/>
      <c r="L48" s="461"/>
      <c r="M48" s="461"/>
      <c r="N48" s="42"/>
    </row>
    <row r="49" spans="2:14" s="12" customFormat="1" ht="15" customHeight="1" outlineLevel="1">
      <c r="B49" s="13"/>
      <c r="C49" s="21"/>
      <c r="D49" s="22"/>
      <c r="E49" s="14"/>
      <c r="F49" s="20"/>
      <c r="G49" s="20"/>
      <c r="H49" s="20"/>
      <c r="I49" s="20"/>
      <c r="J49" s="20"/>
      <c r="K49" s="461"/>
      <c r="L49" s="461"/>
      <c r="M49" s="548"/>
      <c r="N49" s="42"/>
    </row>
    <row r="50" spans="2:14" s="12" customFormat="1" ht="15" customHeight="1" outlineLevel="1">
      <c r="B50" s="107" t="s">
        <v>122</v>
      </c>
      <c r="C50" s="7"/>
      <c r="D50" s="22" t="s">
        <v>16</v>
      </c>
      <c r="E50" s="11"/>
      <c r="F50" s="79">
        <f>G50-G50*0.2</f>
        <v>360</v>
      </c>
      <c r="G50" s="79">
        <v>450</v>
      </c>
      <c r="H50" s="80">
        <f>G50*(1+H$46)</f>
        <v>465.74999999999994</v>
      </c>
      <c r="I50" s="80">
        <f t="shared" ref="I50:M50" si="12">H50*(1+I$46)</f>
        <v>479.72249999999997</v>
      </c>
      <c r="J50" s="80">
        <f>I50*(1+J$46)</f>
        <v>494.11417499999999</v>
      </c>
      <c r="K50" s="464" t="e">
        <f t="shared" si="12"/>
        <v>#REF!</v>
      </c>
      <c r="L50" s="464" t="e">
        <f t="shared" si="12"/>
        <v>#REF!</v>
      </c>
      <c r="M50" s="464" t="e">
        <f t="shared" si="12"/>
        <v>#REF!</v>
      </c>
    </row>
    <row r="51" spans="2:14" s="12" customFormat="1" ht="15" customHeight="1" outlineLevel="1">
      <c r="B51" s="107" t="s">
        <v>24</v>
      </c>
      <c r="C51" s="21"/>
      <c r="D51" s="22"/>
      <c r="E51" s="14"/>
      <c r="F51" s="411">
        <f t="shared" ref="F51:M51" si="13">SUM(F50:F50)</f>
        <v>360</v>
      </c>
      <c r="G51" s="411">
        <f t="shared" si="13"/>
        <v>450</v>
      </c>
      <c r="H51" s="411">
        <f t="shared" si="13"/>
        <v>465.74999999999994</v>
      </c>
      <c r="I51" s="411">
        <f t="shared" si="13"/>
        <v>479.72249999999997</v>
      </c>
      <c r="J51" s="411">
        <f t="shared" si="13"/>
        <v>494.11417499999999</v>
      </c>
      <c r="K51" s="464" t="e">
        <f t="shared" si="13"/>
        <v>#REF!</v>
      </c>
      <c r="L51" s="464" t="e">
        <f t="shared" si="13"/>
        <v>#REF!</v>
      </c>
      <c r="M51" s="464" t="e">
        <f t="shared" si="13"/>
        <v>#REF!</v>
      </c>
    </row>
    <row r="52" spans="2:14" s="12" customFormat="1" ht="15" customHeight="1" outlineLevel="1">
      <c r="B52" s="21"/>
      <c r="C52" s="21"/>
      <c r="D52" s="22"/>
      <c r="E52" s="14"/>
      <c r="F52" s="35"/>
      <c r="G52" s="35"/>
      <c r="H52" s="35"/>
      <c r="I52" s="35"/>
      <c r="J52" s="35"/>
      <c r="K52" s="464"/>
      <c r="L52" s="464"/>
      <c r="M52" s="548"/>
    </row>
    <row r="53" spans="2:14" s="12" customFormat="1" ht="15" customHeight="1" outlineLevel="1">
      <c r="B53" s="107" t="s">
        <v>122</v>
      </c>
      <c r="C53" s="7"/>
      <c r="D53" s="22"/>
      <c r="E53" s="11"/>
      <c r="F53" s="30">
        <f>F50*F$45/1000</f>
        <v>288000</v>
      </c>
      <c r="G53" s="30">
        <f>G50*G$45/1000</f>
        <v>270000</v>
      </c>
      <c r="H53" s="30">
        <f t="shared" ref="H53:M53" si="14">H50*H$45/1000</f>
        <v>307394.99999999994</v>
      </c>
      <c r="I53" s="30">
        <f t="shared" si="14"/>
        <v>348278.53500000003</v>
      </c>
      <c r="J53" s="30">
        <f t="shared" si="14"/>
        <v>394599.58015500009</v>
      </c>
      <c r="K53" s="459" t="e">
        <f t="shared" si="14"/>
        <v>#REF!</v>
      </c>
      <c r="L53" s="459" t="e">
        <f t="shared" si="14"/>
        <v>#REF!</v>
      </c>
      <c r="M53" s="459" t="e">
        <f t="shared" si="14"/>
        <v>#REF!</v>
      </c>
    </row>
    <row r="54" spans="2:14" s="12" customFormat="1" ht="15" customHeight="1" outlineLevel="1">
      <c r="B54" s="107" t="s">
        <v>24</v>
      </c>
      <c r="C54" s="21"/>
      <c r="D54" s="22"/>
      <c r="E54" s="14"/>
      <c r="F54" s="142">
        <f t="shared" ref="F54:M54" si="15">SUM(F53:F53)</f>
        <v>288000</v>
      </c>
      <c r="G54" s="142">
        <f t="shared" si="15"/>
        <v>270000</v>
      </c>
      <c r="H54" s="142">
        <f t="shared" si="15"/>
        <v>307394.99999999994</v>
      </c>
      <c r="I54" s="142">
        <f t="shared" si="15"/>
        <v>348278.53500000003</v>
      </c>
      <c r="J54" s="142">
        <f t="shared" si="15"/>
        <v>394599.58015500009</v>
      </c>
      <c r="K54" s="459" t="e">
        <f t="shared" si="15"/>
        <v>#REF!</v>
      </c>
      <c r="L54" s="459" t="e">
        <f t="shared" si="15"/>
        <v>#REF!</v>
      </c>
      <c r="M54" s="459" t="e">
        <f t="shared" si="15"/>
        <v>#REF!</v>
      </c>
      <c r="N54" s="301"/>
    </row>
    <row r="55" spans="2:14" s="12" customFormat="1" ht="15" customHeight="1" outlineLevel="1">
      <c r="B55" s="36"/>
      <c r="C55" s="38"/>
      <c r="D55" s="37"/>
      <c r="E55" s="28"/>
      <c r="F55" s="28"/>
      <c r="G55" s="24"/>
      <c r="H55" s="24"/>
      <c r="I55" s="24"/>
      <c r="J55" s="24"/>
      <c r="K55" s="461"/>
      <c r="L55" s="461"/>
      <c r="M55" s="461"/>
    </row>
    <row r="56" spans="2:14" s="12" customFormat="1" ht="15" customHeight="1" outlineLevel="1">
      <c r="B56" s="13"/>
      <c r="C56" s="21"/>
      <c r="D56" s="22"/>
      <c r="E56" s="14"/>
      <c r="F56" s="14"/>
      <c r="G56" s="20"/>
      <c r="H56" s="20"/>
      <c r="I56" s="20"/>
      <c r="J56" s="20"/>
      <c r="K56" s="461"/>
      <c r="L56" s="461"/>
      <c r="M56" s="461"/>
    </row>
    <row r="57" spans="2:14" s="12" customFormat="1" ht="15" customHeight="1" outlineLevel="1">
      <c r="B57" s="16" t="s">
        <v>128</v>
      </c>
      <c r="C57" s="21"/>
      <c r="D57" s="22"/>
      <c r="E57" s="14"/>
      <c r="F57" s="14"/>
      <c r="G57" s="20"/>
      <c r="H57" s="20"/>
      <c r="I57" s="20"/>
      <c r="J57" s="20"/>
      <c r="K57" s="461"/>
      <c r="L57" s="461"/>
      <c r="M57" s="548"/>
      <c r="N57" s="42"/>
    </row>
    <row r="58" spans="2:14" s="12" customFormat="1" ht="15" customHeight="1" outlineLevel="1">
      <c r="B58" s="16"/>
      <c r="C58" s="21"/>
      <c r="D58" s="22"/>
      <c r="E58" s="14"/>
      <c r="F58" s="14"/>
      <c r="G58" s="20"/>
      <c r="H58" s="20"/>
      <c r="I58" s="20"/>
      <c r="J58" s="20"/>
      <c r="K58" s="461"/>
      <c r="L58" s="461"/>
      <c r="M58" s="548"/>
      <c r="N58" s="42"/>
    </row>
    <row r="59" spans="2:14" s="12" customFormat="1" ht="15" customHeight="1" outlineLevel="1">
      <c r="B59" s="145" t="s">
        <v>230</v>
      </c>
      <c r="C59" s="246">
        <f>85000*10000/1000</f>
        <v>850000</v>
      </c>
      <c r="D59" s="22"/>
      <c r="E59" s="14"/>
      <c r="F59" s="14"/>
      <c r="G59" s="20"/>
      <c r="H59" s="20"/>
      <c r="I59" s="20"/>
      <c r="J59" s="20"/>
      <c r="K59" s="461"/>
      <c r="L59" s="461"/>
      <c r="M59" s="548"/>
      <c r="N59" s="42"/>
    </row>
    <row r="60" spans="2:14" s="12" customFormat="1" ht="15" customHeight="1" outlineLevel="1">
      <c r="B60" s="65" t="s">
        <v>231</v>
      </c>
      <c r="C60" s="176">
        <f>C59*0.1</f>
        <v>85000</v>
      </c>
      <c r="D60" s="22"/>
      <c r="E60" s="14"/>
      <c r="F60" s="14"/>
      <c r="G60" s="20"/>
      <c r="H60" s="20"/>
      <c r="I60" s="20"/>
      <c r="J60" s="20"/>
      <c r="K60" s="461"/>
      <c r="L60" s="461"/>
      <c r="M60" s="548"/>
      <c r="N60" s="42"/>
    </row>
    <row r="61" spans="2:14" s="12" customFormat="1" ht="15" customHeight="1" outlineLevel="1">
      <c r="B61" s="267"/>
      <c r="C61" s="21"/>
      <c r="D61" s="22"/>
      <c r="E61" s="14"/>
      <c r="F61" s="14"/>
      <c r="G61" s="20"/>
      <c r="H61" s="20"/>
      <c r="I61" s="20"/>
      <c r="J61" s="20"/>
      <c r="K61" s="461"/>
      <c r="L61" s="461"/>
      <c r="M61" s="548"/>
      <c r="N61" s="42"/>
    </row>
    <row r="62" spans="2:14" s="12" customFormat="1" ht="15" customHeight="1" outlineLevel="1">
      <c r="B62" s="107" t="s">
        <v>210</v>
      </c>
      <c r="C62" s="7"/>
      <c r="D62" s="22" t="s">
        <v>16</v>
      </c>
      <c r="E62" s="11"/>
      <c r="F62" s="35">
        <f>(F66*1000)/F$45</f>
        <v>106.25</v>
      </c>
      <c r="G62" s="35">
        <f t="shared" ref="G62:M62" si="16">(G66*1000)/G$45</f>
        <v>141.66666666666666</v>
      </c>
      <c r="H62" s="35">
        <f t="shared" si="16"/>
        <v>133.29545454545453</v>
      </c>
      <c r="I62" s="35">
        <f t="shared" si="16"/>
        <v>124.8130165289256</v>
      </c>
      <c r="J62" s="35">
        <f t="shared" si="16"/>
        <v>116.8703700225394</v>
      </c>
      <c r="K62" s="464" t="e">
        <f t="shared" si="16"/>
        <v>#REF!</v>
      </c>
      <c r="L62" s="464" t="e">
        <f t="shared" si="16"/>
        <v>#REF!</v>
      </c>
      <c r="M62" s="464" t="e">
        <f t="shared" si="16"/>
        <v>#REF!</v>
      </c>
    </row>
    <row r="63" spans="2:14" s="12" customFormat="1" ht="15" customHeight="1" outlineLevel="1">
      <c r="B63" s="410" t="s">
        <v>315</v>
      </c>
      <c r="C63" s="7"/>
      <c r="D63" s="22"/>
      <c r="E63" s="11"/>
      <c r="F63" s="35">
        <f>(F67*1000)/F$45</f>
        <v>0</v>
      </c>
      <c r="G63" s="35">
        <f>(G67*1000)/G$45</f>
        <v>0</v>
      </c>
      <c r="H63" s="35">
        <f>(H67*1000)/H$45</f>
        <v>0</v>
      </c>
      <c r="I63" s="35">
        <f>(I67*1000)/I$45</f>
        <v>0</v>
      </c>
      <c r="J63" s="35">
        <f>(J67*1000)/J$45</f>
        <v>0</v>
      </c>
      <c r="K63" s="464"/>
      <c r="L63" s="464"/>
      <c r="M63" s="464"/>
    </row>
    <row r="64" spans="2:14" s="12" customFormat="1" ht="15" customHeight="1" outlineLevel="1">
      <c r="B64" s="107" t="s">
        <v>24</v>
      </c>
      <c r="C64" s="21"/>
      <c r="D64" s="22"/>
      <c r="E64" s="14"/>
      <c r="F64" s="35">
        <f>SUM(F62:F63)</f>
        <v>106.25</v>
      </c>
      <c r="G64" s="35">
        <f>SUM(G62:G63)</f>
        <v>141.66666666666666</v>
      </c>
      <c r="H64" s="35">
        <f>SUM(H62:H63)</f>
        <v>133.29545454545453</v>
      </c>
      <c r="I64" s="35">
        <f>SUM(I62:I63)</f>
        <v>124.8130165289256</v>
      </c>
      <c r="J64" s="35">
        <f>SUM(J62:J63)</f>
        <v>116.8703700225394</v>
      </c>
      <c r="K64" s="464" t="e">
        <f t="shared" ref="K64:M64" si="17">SUM(K62:K62)</f>
        <v>#REF!</v>
      </c>
      <c r="L64" s="464" t="e">
        <f t="shared" si="17"/>
        <v>#REF!</v>
      </c>
      <c r="M64" s="464" t="e">
        <f t="shared" si="17"/>
        <v>#REF!</v>
      </c>
    </row>
    <row r="65" spans="2:14" s="12" customFormat="1" ht="15" customHeight="1" outlineLevel="1">
      <c r="B65" s="21"/>
      <c r="C65" s="21"/>
      <c r="D65" s="22"/>
      <c r="E65" s="14"/>
      <c r="F65" s="20"/>
      <c r="G65" s="20"/>
      <c r="H65" s="20"/>
      <c r="I65" s="20"/>
      <c r="J65" s="20"/>
      <c r="K65" s="461"/>
      <c r="L65" s="461"/>
      <c r="M65" s="548"/>
    </row>
    <row r="66" spans="2:14" s="12" customFormat="1" ht="15" customHeight="1" outlineLevel="1">
      <c r="B66" s="107" t="s">
        <v>210</v>
      </c>
      <c r="C66" s="7"/>
      <c r="D66" s="40"/>
      <c r="E66" s="11"/>
      <c r="F66" s="40">
        <f>G66</f>
        <v>85000</v>
      </c>
      <c r="G66" s="40">
        <f>C60</f>
        <v>85000</v>
      </c>
      <c r="H66" s="41">
        <f>G66*(1+H$46)</f>
        <v>87975</v>
      </c>
      <c r="I66" s="41">
        <f t="shared" ref="H66:M67" si="18">H66*(1+I$46)</f>
        <v>90614.25</v>
      </c>
      <c r="J66" s="41">
        <f t="shared" si="18"/>
        <v>93332.677500000005</v>
      </c>
      <c r="K66" s="459" t="e">
        <f t="shared" si="18"/>
        <v>#REF!</v>
      </c>
      <c r="L66" s="459" t="e">
        <f t="shared" si="18"/>
        <v>#REF!</v>
      </c>
      <c r="M66" s="459" t="e">
        <f t="shared" si="18"/>
        <v>#REF!</v>
      </c>
    </row>
    <row r="67" spans="2:14" s="12" customFormat="1" ht="15" customHeight="1" outlineLevel="1">
      <c r="B67" s="410" t="s">
        <v>315</v>
      </c>
      <c r="C67" s="7"/>
      <c r="D67" s="40"/>
      <c r="E67" s="11"/>
      <c r="F67" s="40"/>
      <c r="G67" s="40">
        <v>0</v>
      </c>
      <c r="H67" s="41">
        <f t="shared" si="18"/>
        <v>0</v>
      </c>
      <c r="I67" s="41">
        <f t="shared" si="18"/>
        <v>0</v>
      </c>
      <c r="J67" s="41">
        <f t="shared" si="18"/>
        <v>0</v>
      </c>
      <c r="K67" s="459"/>
      <c r="L67" s="459"/>
      <c r="M67" s="459"/>
    </row>
    <row r="68" spans="2:14" s="12" customFormat="1" ht="15" customHeight="1" outlineLevel="1">
      <c r="B68" s="107" t="s">
        <v>24</v>
      </c>
      <c r="C68" s="21"/>
      <c r="D68" s="22"/>
      <c r="E68" s="14"/>
      <c r="F68" s="30">
        <f>SUM(F66:F67)</f>
        <v>85000</v>
      </c>
      <c r="G68" s="30">
        <f>SUM(G66:G67)</f>
        <v>85000</v>
      </c>
      <c r="H68" s="30">
        <f>SUM(H66:H67)</f>
        <v>87975</v>
      </c>
      <c r="I68" s="30">
        <f>SUM(I66:I67)</f>
        <v>90614.25</v>
      </c>
      <c r="J68" s="30">
        <f>SUM(J66:J67)</f>
        <v>93332.677500000005</v>
      </c>
      <c r="K68" s="459" t="e">
        <f t="shared" ref="K68:M68" si="19">SUM(K66:K66)</f>
        <v>#REF!</v>
      </c>
      <c r="L68" s="459" t="e">
        <f t="shared" si="19"/>
        <v>#REF!</v>
      </c>
      <c r="M68" s="459" t="e">
        <f t="shared" si="19"/>
        <v>#REF!</v>
      </c>
    </row>
    <row r="69" spans="2:14" s="12" customFormat="1" ht="15" customHeight="1" outlineLevel="1">
      <c r="B69" s="36"/>
      <c r="C69" s="38"/>
      <c r="D69" s="37"/>
      <c r="E69" s="28"/>
      <c r="F69" s="131"/>
      <c r="G69" s="131"/>
      <c r="H69" s="24"/>
      <c r="I69" s="24"/>
      <c r="J69" s="24"/>
      <c r="K69" s="461"/>
      <c r="L69" s="461"/>
      <c r="M69" s="461"/>
    </row>
    <row r="70" spans="2:14" s="12" customFormat="1" ht="15" customHeight="1" outlineLevel="1">
      <c r="B70" s="13"/>
      <c r="C70" s="21"/>
      <c r="D70" s="22"/>
      <c r="E70" s="14"/>
      <c r="F70" s="130"/>
      <c r="G70" s="130"/>
      <c r="H70" s="20"/>
      <c r="I70" s="20"/>
      <c r="J70" s="20"/>
      <c r="K70" s="461"/>
      <c r="L70" s="461"/>
      <c r="M70" s="461"/>
    </row>
    <row r="71" spans="2:14" s="12" customFormat="1" ht="15" customHeight="1" outlineLevel="1">
      <c r="B71" s="16" t="s">
        <v>130</v>
      </c>
      <c r="C71" s="21"/>
      <c r="D71" s="22"/>
      <c r="E71" s="14"/>
      <c r="F71" s="20"/>
      <c r="G71" s="20"/>
      <c r="H71" s="20"/>
      <c r="K71" s="478"/>
      <c r="L71" s="478"/>
      <c r="M71" s="478"/>
    </row>
    <row r="72" spans="2:14" s="12" customFormat="1" ht="15" customHeight="1" outlineLevel="1">
      <c r="B72" s="16"/>
      <c r="C72" s="21"/>
      <c r="D72" s="22"/>
      <c r="E72" s="14"/>
      <c r="F72" s="20"/>
      <c r="G72" s="20"/>
      <c r="H72" s="20"/>
      <c r="I72" s="20"/>
      <c r="J72" s="20"/>
      <c r="K72" s="461"/>
      <c r="L72" s="461"/>
      <c r="M72" s="548"/>
    </row>
    <row r="73" spans="2:14" s="12" customFormat="1" ht="15" customHeight="1" outlineLevel="1">
      <c r="B73" s="107" t="s">
        <v>21</v>
      </c>
      <c r="C73" s="21"/>
      <c r="D73" s="22" t="s">
        <v>16</v>
      </c>
      <c r="E73" s="14"/>
      <c r="F73" s="35">
        <f t="shared" ref="F73:M73" si="20">F51</f>
        <v>360</v>
      </c>
      <c r="G73" s="35">
        <f t="shared" si="20"/>
        <v>450</v>
      </c>
      <c r="H73" s="35">
        <f t="shared" si="20"/>
        <v>465.74999999999994</v>
      </c>
      <c r="I73" s="35">
        <f t="shared" si="20"/>
        <v>479.72249999999997</v>
      </c>
      <c r="J73" s="35">
        <f t="shared" si="20"/>
        <v>494.11417499999999</v>
      </c>
      <c r="K73" s="464" t="e">
        <f t="shared" si="20"/>
        <v>#REF!</v>
      </c>
      <c r="L73" s="464" t="e">
        <f t="shared" si="20"/>
        <v>#REF!</v>
      </c>
      <c r="M73" s="464" t="e">
        <f t="shared" si="20"/>
        <v>#REF!</v>
      </c>
    </row>
    <row r="74" spans="2:14" s="12" customFormat="1" ht="15" customHeight="1" outlineLevel="1">
      <c r="B74" s="107" t="s">
        <v>22</v>
      </c>
      <c r="C74" s="21"/>
      <c r="D74" s="22" t="s">
        <v>16</v>
      </c>
      <c r="E74" s="14"/>
      <c r="F74" s="120">
        <f t="shared" ref="F74" si="21">F64</f>
        <v>106.25</v>
      </c>
      <c r="G74" s="120">
        <f t="shared" ref="G74:M74" si="22">G64</f>
        <v>141.66666666666666</v>
      </c>
      <c r="H74" s="120">
        <f t="shared" si="22"/>
        <v>133.29545454545453</v>
      </c>
      <c r="I74" s="120">
        <f t="shared" si="22"/>
        <v>124.8130165289256</v>
      </c>
      <c r="J74" s="120">
        <f t="shared" si="22"/>
        <v>116.8703700225394</v>
      </c>
      <c r="K74" s="464" t="e">
        <f t="shared" si="22"/>
        <v>#REF!</v>
      </c>
      <c r="L74" s="464" t="e">
        <f t="shared" si="22"/>
        <v>#REF!</v>
      </c>
      <c r="M74" s="464" t="e">
        <f t="shared" si="22"/>
        <v>#REF!</v>
      </c>
    </row>
    <row r="75" spans="2:14" s="12" customFormat="1" ht="15" customHeight="1" outlineLevel="1">
      <c r="B75" s="107" t="s">
        <v>25</v>
      </c>
      <c r="C75" s="21"/>
      <c r="D75" s="22" t="s">
        <v>16</v>
      </c>
      <c r="E75" s="14"/>
      <c r="F75" s="35">
        <f t="shared" ref="F75" si="23">SUM(F73:F74)</f>
        <v>466.25</v>
      </c>
      <c r="G75" s="35">
        <f t="shared" ref="G75:M75" si="24">SUM(G73:G74)</f>
        <v>591.66666666666663</v>
      </c>
      <c r="H75" s="35">
        <f t="shared" si="24"/>
        <v>599.0454545454545</v>
      </c>
      <c r="I75" s="35">
        <f t="shared" si="24"/>
        <v>604.53551652892554</v>
      </c>
      <c r="J75" s="35">
        <f t="shared" si="24"/>
        <v>610.98454502253935</v>
      </c>
      <c r="K75" s="464" t="e">
        <f t="shared" si="24"/>
        <v>#REF!</v>
      </c>
      <c r="L75" s="464" t="e">
        <f t="shared" si="24"/>
        <v>#REF!</v>
      </c>
      <c r="M75" s="464" t="e">
        <f t="shared" si="24"/>
        <v>#REF!</v>
      </c>
    </row>
    <row r="76" spans="2:14" s="12" customFormat="1" ht="15" customHeight="1" outlineLevel="1">
      <c r="B76" s="13"/>
      <c r="C76" s="21"/>
      <c r="D76" s="22"/>
      <c r="E76" s="14"/>
      <c r="F76" s="35"/>
      <c r="G76" s="35"/>
      <c r="H76" s="35"/>
      <c r="I76" s="35"/>
      <c r="J76" s="35"/>
      <c r="K76" s="464"/>
      <c r="L76" s="464"/>
      <c r="M76" s="464"/>
    </row>
    <row r="77" spans="2:14" s="12" customFormat="1" ht="15" customHeight="1" outlineLevel="1">
      <c r="B77" s="107" t="s">
        <v>21</v>
      </c>
      <c r="C77" s="21"/>
      <c r="D77" s="22"/>
      <c r="E77" s="14"/>
      <c r="F77" s="30">
        <f t="shared" ref="F77:M77" si="25">F54</f>
        <v>288000</v>
      </c>
      <c r="G77" s="30">
        <f t="shared" si="25"/>
        <v>270000</v>
      </c>
      <c r="H77" s="30">
        <f t="shared" si="25"/>
        <v>307394.99999999994</v>
      </c>
      <c r="I77" s="30">
        <f t="shared" si="25"/>
        <v>348278.53500000003</v>
      </c>
      <c r="J77" s="30">
        <f t="shared" si="25"/>
        <v>394599.58015500009</v>
      </c>
      <c r="K77" s="459" t="e">
        <f t="shared" si="25"/>
        <v>#REF!</v>
      </c>
      <c r="L77" s="459" t="e">
        <f t="shared" si="25"/>
        <v>#REF!</v>
      </c>
      <c r="M77" s="459" t="e">
        <f t="shared" si="25"/>
        <v>#REF!</v>
      </c>
    </row>
    <row r="78" spans="2:14" s="12" customFormat="1" ht="15" customHeight="1" outlineLevel="1">
      <c r="B78" s="107" t="s">
        <v>22</v>
      </c>
      <c r="C78" s="21"/>
      <c r="D78" s="22"/>
      <c r="E78" s="14"/>
      <c r="F78" s="30">
        <f t="shared" ref="F78" si="26">F68</f>
        <v>85000</v>
      </c>
      <c r="G78" s="30">
        <f t="shared" ref="G78:M78" si="27">G68</f>
        <v>85000</v>
      </c>
      <c r="H78" s="30">
        <f t="shared" si="27"/>
        <v>87975</v>
      </c>
      <c r="I78" s="30">
        <f t="shared" si="27"/>
        <v>90614.25</v>
      </c>
      <c r="J78" s="30">
        <f t="shared" si="27"/>
        <v>93332.677500000005</v>
      </c>
      <c r="K78" s="459" t="e">
        <f t="shared" si="27"/>
        <v>#REF!</v>
      </c>
      <c r="L78" s="459" t="e">
        <f t="shared" si="27"/>
        <v>#REF!</v>
      </c>
      <c r="M78" s="459" t="e">
        <f t="shared" si="27"/>
        <v>#REF!</v>
      </c>
    </row>
    <row r="79" spans="2:14" s="12" customFormat="1" ht="15" customHeight="1" outlineLevel="1" thickBot="1">
      <c r="B79" s="107" t="s">
        <v>25</v>
      </c>
      <c r="C79" s="21"/>
      <c r="D79" s="22"/>
      <c r="E79" s="14"/>
      <c r="F79" s="344">
        <f t="shared" ref="F79" si="28">SUM(F77:F78)</f>
        <v>373000</v>
      </c>
      <c r="G79" s="344">
        <f t="shared" ref="G79:M79" si="29">SUM(G77:G78)</f>
        <v>355000</v>
      </c>
      <c r="H79" s="344">
        <f t="shared" si="29"/>
        <v>395369.99999999994</v>
      </c>
      <c r="I79" s="344">
        <f t="shared" si="29"/>
        <v>438892.78500000003</v>
      </c>
      <c r="J79" s="344">
        <f>SUM(J77:J78)</f>
        <v>487932.25765500008</v>
      </c>
      <c r="K79" s="467" t="e">
        <f t="shared" si="29"/>
        <v>#REF!</v>
      </c>
      <c r="L79" s="467" t="e">
        <f t="shared" si="29"/>
        <v>#REF!</v>
      </c>
      <c r="M79" s="467" t="e">
        <f t="shared" si="29"/>
        <v>#REF!</v>
      </c>
    </row>
    <row r="80" spans="2:14" s="12" customFormat="1" ht="15" customHeight="1" outlineLevel="1">
      <c r="B80" s="16"/>
      <c r="C80" s="21"/>
      <c r="D80" s="22"/>
      <c r="E80" s="14"/>
      <c r="F80" s="30"/>
      <c r="G80" s="30"/>
      <c r="H80" s="30"/>
      <c r="I80" s="30"/>
      <c r="J80" s="30"/>
      <c r="K80" s="30"/>
      <c r="L80" s="30"/>
      <c r="M80" s="30"/>
      <c r="N80" s="30"/>
    </row>
    <row r="81" spans="1:15" s="12" customFormat="1" ht="15" customHeight="1" outlineLevel="1">
      <c r="B81" s="36"/>
      <c r="C81" s="33"/>
      <c r="D81" s="37"/>
      <c r="E81" s="34"/>
      <c r="F81" s="15"/>
      <c r="G81" s="15"/>
      <c r="H81" s="132"/>
      <c r="I81" s="132"/>
      <c r="J81" s="132"/>
      <c r="K81" s="132"/>
      <c r="L81" s="132"/>
      <c r="M81" s="132"/>
      <c r="N81" s="132"/>
      <c r="O81" s="42"/>
    </row>
    <row r="82" spans="1:15" s="12" customFormat="1" ht="15" customHeight="1">
      <c r="B82" s="13"/>
      <c r="C82" s="7"/>
      <c r="D82" s="22"/>
      <c r="E82" s="11"/>
      <c r="F82" s="40"/>
      <c r="G82" s="40"/>
      <c r="H82" s="40"/>
      <c r="I82" s="41"/>
      <c r="J82" s="41"/>
      <c r="K82" s="41"/>
      <c r="L82" s="41"/>
      <c r="M82" s="41"/>
      <c r="N82" s="41"/>
      <c r="O82" s="42"/>
    </row>
    <row r="83" spans="1:15" s="5" customFormat="1" ht="15" customHeight="1">
      <c r="A83" s="12" t="s">
        <v>143</v>
      </c>
      <c r="B83" s="417" t="s">
        <v>31</v>
      </c>
      <c r="C83" s="413"/>
      <c r="D83" s="414"/>
      <c r="E83" s="414"/>
      <c r="F83" s="415"/>
      <c r="G83" s="415"/>
      <c r="H83" s="415"/>
      <c r="I83" s="415"/>
      <c r="J83" s="415"/>
      <c r="K83" s="415"/>
      <c r="L83" s="418"/>
      <c r="M83" s="415"/>
      <c r="N83" s="416"/>
    </row>
    <row r="84" spans="1:15" s="5" customFormat="1" ht="15" customHeight="1" outlineLevel="1">
      <c r="B84" s="6"/>
      <c r="C84" s="7"/>
      <c r="D84" s="8"/>
      <c r="E84" s="8"/>
      <c r="F84" s="9"/>
      <c r="G84" s="9"/>
      <c r="H84" s="9"/>
      <c r="I84" s="9"/>
      <c r="J84" s="9"/>
      <c r="K84" s="9"/>
      <c r="L84" s="9"/>
      <c r="M84" s="9"/>
      <c r="N84" s="9"/>
    </row>
    <row r="85" spans="1:15" s="5" customFormat="1" ht="15" customHeight="1" outlineLevel="1" thickBot="1">
      <c r="B85" s="10" t="s">
        <v>19</v>
      </c>
      <c r="C85" s="7"/>
      <c r="D85" s="11"/>
      <c r="E85" s="11"/>
      <c r="F85" s="106" t="s">
        <v>291</v>
      </c>
      <c r="G85" s="106">
        <f t="shared" ref="G85:M85" si="30">G$5</f>
        <v>1</v>
      </c>
      <c r="H85" s="102">
        <f t="shared" si="30"/>
        <v>2</v>
      </c>
      <c r="I85" s="102">
        <f t="shared" si="30"/>
        <v>3</v>
      </c>
      <c r="J85" s="102">
        <f t="shared" si="30"/>
        <v>4</v>
      </c>
      <c r="K85" s="458">
        <f t="shared" si="30"/>
        <v>5</v>
      </c>
      <c r="L85" s="458">
        <f t="shared" si="30"/>
        <v>6</v>
      </c>
      <c r="M85" s="458" t="str">
        <f t="shared" si="30"/>
        <v>Term</v>
      </c>
    </row>
    <row r="86" spans="1:15" ht="15" customHeight="1" outlineLevel="1">
      <c r="A86" s="12"/>
      <c r="B86" s="10" t="str">
        <f>$B$6</f>
        <v>Best Case</v>
      </c>
      <c r="C86" s="7"/>
      <c r="D86" s="11"/>
      <c r="E86" s="11"/>
      <c r="F86" s="11"/>
      <c r="G86" s="11"/>
      <c r="H86" s="39"/>
      <c r="I86" s="39"/>
      <c r="J86" s="39"/>
      <c r="K86" s="458"/>
      <c r="L86" s="458"/>
      <c r="M86" s="458"/>
    </row>
    <row r="87" spans="1:15" s="5" customFormat="1" ht="15" customHeight="1" outlineLevel="1">
      <c r="B87" s="10"/>
      <c r="C87" s="7"/>
      <c r="D87" s="11"/>
      <c r="E87" s="11"/>
      <c r="F87" s="11"/>
      <c r="G87" s="11"/>
      <c r="K87" s="460"/>
      <c r="L87" s="460"/>
      <c r="M87" s="460"/>
    </row>
    <row r="88" spans="1:15" ht="15" customHeight="1" outlineLevel="1">
      <c r="A88" s="12"/>
      <c r="B88" s="13" t="s">
        <v>23</v>
      </c>
      <c r="C88" s="7"/>
      <c r="D88" s="11"/>
      <c r="E88" s="11"/>
      <c r="F88" s="339"/>
      <c r="G88" s="339">
        <f t="shared" ref="G88:M88" si="31">G46</f>
        <v>3.5000000000000003E-2</v>
      </c>
      <c r="H88" s="339">
        <f t="shared" si="31"/>
        <v>3.5000000000000003E-2</v>
      </c>
      <c r="I88" s="339">
        <f t="shared" si="31"/>
        <v>0.03</v>
      </c>
      <c r="J88" s="339">
        <f t="shared" si="31"/>
        <v>0.03</v>
      </c>
      <c r="K88" s="462" t="e">
        <f t="shared" si="31"/>
        <v>#REF!</v>
      </c>
      <c r="L88" s="462" t="e">
        <f t="shared" si="31"/>
        <v>#REF!</v>
      </c>
      <c r="M88" s="462">
        <f t="shared" si="31"/>
        <v>1.4999999999999999E-2</v>
      </c>
    </row>
    <row r="89" spans="1:15" ht="15" customHeight="1" outlineLevel="1">
      <c r="A89" s="12"/>
      <c r="B89" s="13"/>
      <c r="C89" s="7"/>
      <c r="D89" s="11"/>
      <c r="E89" s="11"/>
      <c r="F89" s="11"/>
      <c r="G89" s="118"/>
      <c r="H89" s="118"/>
      <c r="I89" s="118"/>
      <c r="J89" s="118"/>
      <c r="K89" s="462"/>
      <c r="L89" s="462"/>
      <c r="M89" s="462"/>
    </row>
    <row r="90" spans="1:15" s="5" customFormat="1" ht="15" customHeight="1" outlineLevel="1">
      <c r="B90" s="302" t="s">
        <v>77</v>
      </c>
      <c r="C90" s="261">
        <f>Inputs!$L$105</f>
        <v>0</v>
      </c>
      <c r="D90" s="11"/>
      <c r="E90" s="11"/>
      <c r="F90" s="11"/>
      <c r="G90" s="11"/>
      <c r="K90" s="460"/>
      <c r="L90" s="460"/>
      <c r="M90" s="460"/>
    </row>
    <row r="91" spans="1:15" s="5" customFormat="1" ht="15" customHeight="1" outlineLevel="1">
      <c r="B91" s="65" t="s">
        <v>46</v>
      </c>
      <c r="C91" s="247">
        <f>Inputs!$L$73</f>
        <v>0.2</v>
      </c>
      <c r="E91" s="11"/>
      <c r="F91" s="11"/>
      <c r="G91" s="11"/>
      <c r="H91" s="39"/>
      <c r="I91" s="39"/>
      <c r="J91" s="39"/>
      <c r="K91" s="458"/>
      <c r="L91" s="458"/>
      <c r="M91" s="460"/>
      <c r="N91" s="42"/>
    </row>
    <row r="92" spans="1:15" s="5" customFormat="1" ht="15" customHeight="1" outlineLevel="1">
      <c r="B92" s="298"/>
      <c r="C92" s="7"/>
      <c r="D92" s="11"/>
      <c r="E92" s="11"/>
      <c r="F92" s="11"/>
      <c r="G92" s="11"/>
      <c r="K92" s="460"/>
      <c r="L92" s="460"/>
      <c r="M92" s="460"/>
    </row>
    <row r="93" spans="1:15" s="12" customFormat="1" ht="15" customHeight="1" outlineLevel="1">
      <c r="B93" s="107" t="s">
        <v>0</v>
      </c>
      <c r="C93" s="14"/>
      <c r="D93" s="11"/>
      <c r="E93" s="14"/>
      <c r="F93" s="123">
        <f t="shared" ref="F93:M93" si="32">F33</f>
        <v>400000</v>
      </c>
      <c r="G93" s="123">
        <f t="shared" si="32"/>
        <v>390000</v>
      </c>
      <c r="H93" s="103">
        <f t="shared" si="32"/>
        <v>493349.99999999994</v>
      </c>
      <c r="I93" s="103">
        <f t="shared" si="32"/>
        <v>624087.74999999988</v>
      </c>
      <c r="J93" s="103">
        <f t="shared" si="32"/>
        <v>789471.00375000003</v>
      </c>
      <c r="K93" s="469" t="e">
        <f t="shared" si="32"/>
        <v>#REF!</v>
      </c>
      <c r="L93" s="469" t="e">
        <f t="shared" si="32"/>
        <v>#REF!</v>
      </c>
      <c r="M93" s="469" t="e">
        <f t="shared" si="32"/>
        <v>#REF!</v>
      </c>
    </row>
    <row r="94" spans="1:15" s="12" customFormat="1" ht="15" customHeight="1" outlineLevel="1">
      <c r="B94" s="107" t="s">
        <v>124</v>
      </c>
      <c r="C94" s="14"/>
      <c r="D94" s="14"/>
      <c r="E94" s="14"/>
      <c r="F94" s="194">
        <f t="shared" ref="F94:M94" si="33">F79</f>
        <v>373000</v>
      </c>
      <c r="G94" s="194">
        <f t="shared" si="33"/>
        <v>355000</v>
      </c>
      <c r="H94" s="407">
        <f t="shared" si="33"/>
        <v>395369.99999999994</v>
      </c>
      <c r="I94" s="407">
        <f t="shared" si="33"/>
        <v>438892.78500000003</v>
      </c>
      <c r="J94" s="407">
        <f t="shared" si="33"/>
        <v>487932.25765500008</v>
      </c>
      <c r="K94" s="469" t="e">
        <f t="shared" si="33"/>
        <v>#REF!</v>
      </c>
      <c r="L94" s="469" t="e">
        <f t="shared" si="33"/>
        <v>#REF!</v>
      </c>
      <c r="M94" s="469" t="e">
        <f t="shared" si="33"/>
        <v>#REF!</v>
      </c>
    </row>
    <row r="95" spans="1:15" s="12" customFormat="1" ht="15" customHeight="1" outlineLevel="1">
      <c r="B95" s="268" t="s">
        <v>32</v>
      </c>
      <c r="C95" s="17"/>
      <c r="D95" s="14"/>
      <c r="E95" s="14"/>
      <c r="F95" s="122">
        <f t="shared" ref="F95" si="34">F93-F94</f>
        <v>27000</v>
      </c>
      <c r="G95" s="122">
        <f t="shared" ref="G95:M95" si="35">G93-G94</f>
        <v>35000</v>
      </c>
      <c r="H95" s="122">
        <f t="shared" si="35"/>
        <v>97980</v>
      </c>
      <c r="I95" s="122">
        <f t="shared" si="35"/>
        <v>185194.96499999985</v>
      </c>
      <c r="J95" s="122">
        <f t="shared" si="35"/>
        <v>301538.74609499995</v>
      </c>
      <c r="K95" s="470" t="e">
        <f t="shared" si="35"/>
        <v>#REF!</v>
      </c>
      <c r="L95" s="470" t="e">
        <f t="shared" si="35"/>
        <v>#REF!</v>
      </c>
      <c r="M95" s="470" t="e">
        <f t="shared" si="35"/>
        <v>#REF!</v>
      </c>
    </row>
    <row r="96" spans="1:15" s="12" customFormat="1" ht="15" customHeight="1" outlineLevel="1">
      <c r="B96" s="268"/>
      <c r="C96" s="17"/>
      <c r="D96" s="14"/>
      <c r="E96" s="14"/>
      <c r="F96" s="408"/>
      <c r="G96" s="408"/>
      <c r="H96" s="122"/>
      <c r="I96" s="122"/>
      <c r="J96" s="122"/>
      <c r="K96" s="470"/>
      <c r="L96" s="470"/>
      <c r="M96" s="470"/>
    </row>
    <row r="97" spans="2:13" s="12" customFormat="1" ht="15" customHeight="1" outlineLevel="1">
      <c r="B97" s="107"/>
      <c r="C97" s="14"/>
      <c r="D97" s="14"/>
      <c r="E97" s="14"/>
      <c r="F97" s="409"/>
      <c r="G97" s="409"/>
      <c r="H97" s="408"/>
      <c r="I97" s="408"/>
      <c r="J97" s="408"/>
      <c r="K97" s="471"/>
      <c r="L97" s="471"/>
      <c r="M97" s="471"/>
    </row>
    <row r="98" spans="2:13" s="12" customFormat="1" ht="15" customHeight="1" outlineLevel="1">
      <c r="B98" s="107" t="s">
        <v>120</v>
      </c>
      <c r="C98" s="14"/>
      <c r="D98" s="123"/>
      <c r="E98" s="14"/>
      <c r="F98" s="123">
        <f>G98</f>
        <v>1200</v>
      </c>
      <c r="G98" s="123">
        <f>100000*12/1000</f>
        <v>1200</v>
      </c>
      <c r="H98" s="103">
        <f>G98*(1+H$88)</f>
        <v>1242</v>
      </c>
      <c r="I98" s="103">
        <f t="shared" ref="I98:M99" si="36">H98*(1+I$88)</f>
        <v>1279.26</v>
      </c>
      <c r="J98" s="103">
        <f t="shared" si="36"/>
        <v>1317.6378</v>
      </c>
      <c r="K98" s="469" t="e">
        <f t="shared" si="36"/>
        <v>#REF!</v>
      </c>
      <c r="L98" s="469" t="e">
        <f t="shared" si="36"/>
        <v>#REF!</v>
      </c>
      <c r="M98" s="469" t="e">
        <f t="shared" si="36"/>
        <v>#REF!</v>
      </c>
    </row>
    <row r="99" spans="2:13" s="12" customFormat="1" ht="15" customHeight="1" outlineLevel="1">
      <c r="B99" s="107" t="s">
        <v>40</v>
      </c>
      <c r="C99" s="14"/>
      <c r="D99" s="14"/>
      <c r="E99" s="14"/>
      <c r="F99" s="194">
        <f>G99</f>
        <v>0</v>
      </c>
      <c r="G99" s="194">
        <v>0</v>
      </c>
      <c r="H99" s="407">
        <f>G99*(1+H$88)</f>
        <v>0</v>
      </c>
      <c r="I99" s="407">
        <f t="shared" si="36"/>
        <v>0</v>
      </c>
      <c r="J99" s="407">
        <f t="shared" si="36"/>
        <v>0</v>
      </c>
      <c r="K99" s="469" t="e">
        <f t="shared" si="36"/>
        <v>#REF!</v>
      </c>
      <c r="L99" s="469" t="e">
        <f t="shared" si="36"/>
        <v>#REF!</v>
      </c>
      <c r="M99" s="469" t="e">
        <f t="shared" si="36"/>
        <v>#REF!</v>
      </c>
    </row>
    <row r="100" spans="2:13" s="12" customFormat="1" ht="15" customHeight="1" outlineLevel="1">
      <c r="B100" s="268" t="s">
        <v>33</v>
      </c>
      <c r="C100" s="17"/>
      <c r="D100" s="14"/>
      <c r="E100" s="14"/>
      <c r="F100" s="122">
        <f t="shared" ref="F100" si="37">F95-SUM(F98:F99)</f>
        <v>25800</v>
      </c>
      <c r="G100" s="122">
        <f t="shared" ref="G100:M100" si="38">G95-SUM(G98:G99)</f>
        <v>33800</v>
      </c>
      <c r="H100" s="122">
        <f>H95-SUM(H98:H99)</f>
        <v>96738</v>
      </c>
      <c r="I100" s="122">
        <f>I95-SUM(I98:I99)</f>
        <v>183915.70499999984</v>
      </c>
      <c r="J100" s="122">
        <f t="shared" si="38"/>
        <v>300221.10829499993</v>
      </c>
      <c r="K100" s="470" t="e">
        <f t="shared" si="38"/>
        <v>#REF!</v>
      </c>
      <c r="L100" s="470" t="e">
        <f t="shared" si="38"/>
        <v>#REF!</v>
      </c>
      <c r="M100" s="470" t="e">
        <f t="shared" si="38"/>
        <v>#REF!</v>
      </c>
    </row>
    <row r="101" spans="2:13" s="12" customFormat="1" ht="15" customHeight="1" outlineLevel="1">
      <c r="B101" s="268"/>
      <c r="C101" s="17"/>
      <c r="D101" s="14"/>
      <c r="E101" s="14"/>
      <c r="F101" s="408"/>
      <c r="G101" s="408"/>
      <c r="H101" s="122"/>
      <c r="I101" s="122"/>
      <c r="J101" s="122"/>
      <c r="K101" s="470"/>
      <c r="L101" s="470"/>
      <c r="M101" s="470"/>
    </row>
    <row r="102" spans="2:13" s="12" customFormat="1" ht="15" customHeight="1" outlineLevel="1">
      <c r="B102" s="107"/>
      <c r="C102" s="14"/>
      <c r="D102" s="14"/>
      <c r="E102" s="14"/>
      <c r="F102" s="122"/>
      <c r="G102" s="122"/>
      <c r="H102" s="122"/>
      <c r="I102" s="122"/>
      <c r="J102" s="122"/>
      <c r="K102" s="470"/>
      <c r="L102" s="470"/>
      <c r="M102" s="470"/>
    </row>
    <row r="103" spans="2:13" s="12" customFormat="1" ht="15" customHeight="1" outlineLevel="1">
      <c r="B103" s="107" t="s">
        <v>34</v>
      </c>
      <c r="C103" s="14"/>
      <c r="D103" s="14"/>
      <c r="E103" s="14"/>
      <c r="F103" s="194">
        <f>G103</f>
        <v>120</v>
      </c>
      <c r="G103" s="194">
        <f>G98*0.1</f>
        <v>120</v>
      </c>
      <c r="H103" s="407" t="e">
        <f>I198</f>
        <v>#REF!</v>
      </c>
      <c r="I103" s="407" t="e">
        <f>J198</f>
        <v>#REF!</v>
      </c>
      <c r="J103" s="407" t="e">
        <f>K198</f>
        <v>#REF!</v>
      </c>
      <c r="K103" s="469" t="e">
        <f>L198</f>
        <v>#REF!</v>
      </c>
      <c r="L103" s="469" t="e">
        <f>M198</f>
        <v>#REF!</v>
      </c>
      <c r="M103" s="469">
        <f>Inputs!J24</f>
        <v>4900</v>
      </c>
    </row>
    <row r="104" spans="2:13" s="12" customFormat="1" ht="15" customHeight="1" outlineLevel="1">
      <c r="B104" s="268" t="s">
        <v>35</v>
      </c>
      <c r="C104" s="17"/>
      <c r="D104" s="14"/>
      <c r="E104" s="14"/>
      <c r="F104" s="122">
        <f t="shared" ref="F104" si="39">F100-F103</f>
        <v>25680</v>
      </c>
      <c r="G104" s="122">
        <f t="shared" ref="G104:M104" si="40">G100-G103</f>
        <v>33680</v>
      </c>
      <c r="H104" s="122" t="e">
        <f>H100-H103</f>
        <v>#REF!</v>
      </c>
      <c r="I104" s="122" t="e">
        <f t="shared" si="40"/>
        <v>#REF!</v>
      </c>
      <c r="J104" s="122" t="e">
        <f t="shared" si="40"/>
        <v>#REF!</v>
      </c>
      <c r="K104" s="470" t="e">
        <f t="shared" si="40"/>
        <v>#REF!</v>
      </c>
      <c r="L104" s="470" t="e">
        <f t="shared" si="40"/>
        <v>#REF!</v>
      </c>
      <c r="M104" s="470" t="e">
        <f t="shared" si="40"/>
        <v>#REF!</v>
      </c>
    </row>
    <row r="105" spans="2:13" s="12" customFormat="1" ht="15" customHeight="1" outlineLevel="1">
      <c r="B105" s="268"/>
      <c r="C105" s="17"/>
      <c r="D105" s="14"/>
      <c r="E105" s="14"/>
      <c r="F105" s="122"/>
      <c r="G105" s="122"/>
      <c r="H105" s="122"/>
      <c r="I105" s="122"/>
      <c r="J105" s="122"/>
      <c r="K105" s="470"/>
      <c r="L105" s="470"/>
      <c r="M105" s="470"/>
    </row>
    <row r="106" spans="2:13" s="12" customFormat="1" ht="15" customHeight="1" outlineLevel="1">
      <c r="B106" s="107" t="s">
        <v>41</v>
      </c>
      <c r="C106" s="14"/>
      <c r="D106" s="14"/>
      <c r="E106" s="14"/>
      <c r="F106" s="194">
        <f>G106-G106*0.2</f>
        <v>0</v>
      </c>
      <c r="G106" s="194">
        <v>0</v>
      </c>
      <c r="H106" s="407">
        <v>0</v>
      </c>
      <c r="I106" s="407">
        <v>0</v>
      </c>
      <c r="J106" s="407">
        <v>0</v>
      </c>
      <c r="K106" s="469">
        <v>0</v>
      </c>
      <c r="L106" s="469">
        <v>0</v>
      </c>
      <c r="M106" s="469">
        <v>0</v>
      </c>
    </row>
    <row r="107" spans="2:13" s="12" customFormat="1" ht="15" customHeight="1" outlineLevel="1">
      <c r="B107" s="268" t="s">
        <v>27</v>
      </c>
      <c r="C107" s="17"/>
      <c r="D107" s="14"/>
      <c r="E107" s="14"/>
      <c r="F107" s="122">
        <f t="shared" ref="F107" si="41">F104-F106</f>
        <v>25680</v>
      </c>
      <c r="G107" s="122">
        <f t="shared" ref="G107:M107" si="42">G104-G106</f>
        <v>33680</v>
      </c>
      <c r="H107" s="122" t="e">
        <f t="shared" si="42"/>
        <v>#REF!</v>
      </c>
      <c r="I107" s="122" t="e">
        <f t="shared" si="42"/>
        <v>#REF!</v>
      </c>
      <c r="J107" s="122" t="e">
        <f t="shared" si="42"/>
        <v>#REF!</v>
      </c>
      <c r="K107" s="470" t="e">
        <f t="shared" si="42"/>
        <v>#REF!</v>
      </c>
      <c r="L107" s="470" t="e">
        <f t="shared" si="42"/>
        <v>#REF!</v>
      </c>
      <c r="M107" s="470" t="e">
        <f t="shared" si="42"/>
        <v>#REF!</v>
      </c>
    </row>
    <row r="108" spans="2:13" s="12" customFormat="1" ht="15" customHeight="1" outlineLevel="1">
      <c r="B108" s="268"/>
      <c r="C108" s="17"/>
      <c r="D108" s="14"/>
      <c r="E108" s="14"/>
      <c r="F108" s="122"/>
      <c r="G108" s="122"/>
      <c r="H108" s="122"/>
      <c r="I108" s="122"/>
      <c r="J108" s="122"/>
      <c r="K108" s="470"/>
      <c r="L108" s="470"/>
      <c r="M108" s="470"/>
    </row>
    <row r="109" spans="2:13" s="12" customFormat="1" ht="15" customHeight="1" outlineLevel="1">
      <c r="B109" s="107" t="s">
        <v>36</v>
      </c>
      <c r="C109" s="14"/>
      <c r="D109" s="14"/>
      <c r="E109" s="14"/>
      <c r="F109" s="194">
        <f>G109-G109*0.2</f>
        <v>0</v>
      </c>
      <c r="G109" s="123">
        <v>0</v>
      </c>
      <c r="H109" s="103" t="e">
        <f>I267</f>
        <v>#REF!</v>
      </c>
      <c r="I109" s="103" t="e">
        <f t="shared" ref="I109:L109" si="43">J267</f>
        <v>#REF!</v>
      </c>
      <c r="J109" s="103" t="e">
        <f t="shared" si="43"/>
        <v>#REF!</v>
      </c>
      <c r="K109" s="469" t="e">
        <f t="shared" si="43"/>
        <v>#REF!</v>
      </c>
      <c r="L109" s="469" t="e">
        <f t="shared" si="43"/>
        <v>#REF!</v>
      </c>
      <c r="M109" s="469">
        <v>0</v>
      </c>
    </row>
    <row r="110" spans="2:13" s="12" customFormat="1" ht="15" customHeight="1" outlineLevel="1">
      <c r="B110" s="107" t="s">
        <v>37</v>
      </c>
      <c r="C110" s="14"/>
      <c r="D110" s="14"/>
      <c r="E110" s="14"/>
      <c r="F110" s="194">
        <f>G110-G110*0.2</f>
        <v>0</v>
      </c>
      <c r="G110" s="194">
        <v>0</v>
      </c>
      <c r="H110" s="407" t="e">
        <f>I268</f>
        <v>#REF!</v>
      </c>
      <c r="I110" s="407" t="e">
        <f t="shared" ref="I110:L110" si="44">J268</f>
        <v>#REF!</v>
      </c>
      <c r="J110" s="407" t="e">
        <f t="shared" si="44"/>
        <v>#REF!</v>
      </c>
      <c r="K110" s="469" t="e">
        <f t="shared" si="44"/>
        <v>#REF!</v>
      </c>
      <c r="L110" s="469" t="e">
        <f t="shared" si="44"/>
        <v>#REF!</v>
      </c>
      <c r="M110" s="469">
        <v>0</v>
      </c>
    </row>
    <row r="111" spans="2:13" s="12" customFormat="1" ht="15" customHeight="1" outlineLevel="1">
      <c r="B111" s="107" t="s">
        <v>38</v>
      </c>
      <c r="C111" s="14"/>
      <c r="D111" s="14"/>
      <c r="E111" s="14"/>
      <c r="F111" s="160">
        <f t="shared" ref="F111" si="45">SUM(F109:F110)</f>
        <v>0</v>
      </c>
      <c r="G111" s="160">
        <f t="shared" ref="G111:M111" si="46">SUM(G109:G110)</f>
        <v>0</v>
      </c>
      <c r="H111" s="160" t="e">
        <f>SUM(H109:H110)</f>
        <v>#REF!</v>
      </c>
      <c r="I111" s="160" t="e">
        <f t="shared" si="46"/>
        <v>#REF!</v>
      </c>
      <c r="J111" s="160" t="e">
        <f t="shared" si="46"/>
        <v>#REF!</v>
      </c>
      <c r="K111" s="469" t="e">
        <f t="shared" si="46"/>
        <v>#REF!</v>
      </c>
      <c r="L111" s="469" t="e">
        <f t="shared" si="46"/>
        <v>#REF!</v>
      </c>
      <c r="M111" s="469">
        <f t="shared" si="46"/>
        <v>0</v>
      </c>
    </row>
    <row r="112" spans="2:13" s="12" customFormat="1" ht="15" customHeight="1" outlineLevel="1">
      <c r="B112" s="107"/>
      <c r="C112" s="14"/>
      <c r="D112" s="14"/>
      <c r="E112" s="14"/>
      <c r="F112" s="124"/>
      <c r="G112" s="124"/>
      <c r="H112" s="125"/>
      <c r="I112" s="125"/>
      <c r="J112" s="125"/>
      <c r="K112" s="469"/>
      <c r="L112" s="469"/>
      <c r="M112" s="469"/>
    </row>
    <row r="113" spans="1:15" s="12" customFormat="1" ht="15" customHeight="1" outlineLevel="1" thickBot="1">
      <c r="B113" s="268" t="s">
        <v>39</v>
      </c>
      <c r="C113" s="17"/>
      <c r="D113" s="14"/>
      <c r="E113" s="14"/>
      <c r="F113" s="345">
        <f t="shared" ref="F113" si="47">F107-F111</f>
        <v>25680</v>
      </c>
      <c r="G113" s="345">
        <f t="shared" ref="G113:M113" si="48">G107-G111</f>
        <v>33680</v>
      </c>
      <c r="H113" s="345" t="e">
        <f>H107-H111</f>
        <v>#REF!</v>
      </c>
      <c r="I113" s="345" t="e">
        <f t="shared" si="48"/>
        <v>#REF!</v>
      </c>
      <c r="J113" s="345" t="e">
        <f>J107-J111</f>
        <v>#REF!</v>
      </c>
      <c r="K113" s="472" t="e">
        <f>K107-K111</f>
        <v>#REF!</v>
      </c>
      <c r="L113" s="472" t="e">
        <f t="shared" si="48"/>
        <v>#REF!</v>
      </c>
      <c r="M113" s="472" t="e">
        <f t="shared" si="48"/>
        <v>#REF!</v>
      </c>
    </row>
    <row r="114" spans="1:15" s="12" customFormat="1" ht="15" customHeight="1" outlineLevel="1">
      <c r="B114" s="17"/>
      <c r="C114" s="17"/>
      <c r="D114" s="14"/>
      <c r="E114" s="14"/>
      <c r="F114" s="433"/>
      <c r="G114" s="18"/>
      <c r="H114" s="18"/>
      <c r="I114" s="18"/>
      <c r="J114" s="18"/>
      <c r="K114" s="18"/>
      <c r="L114" s="18"/>
      <c r="M114" s="18"/>
      <c r="N114" s="23"/>
    </row>
    <row r="115" spans="1:15" s="12" customFormat="1" ht="15" customHeight="1" outlineLevel="1">
      <c r="B115" s="43"/>
      <c r="C115" s="43"/>
      <c r="D115" s="28"/>
      <c r="E115" s="28"/>
      <c r="F115" s="44"/>
      <c r="G115" s="44"/>
      <c r="H115" s="44"/>
      <c r="I115" s="44"/>
      <c r="J115" s="44"/>
      <c r="K115" s="44"/>
      <c r="L115" s="44"/>
      <c r="M115" s="44"/>
      <c r="N115" s="44"/>
    </row>
    <row r="116" spans="1:15" s="12" customFormat="1" ht="15" customHeight="1">
      <c r="B116" s="13"/>
      <c r="C116" s="21"/>
      <c r="D116" s="22"/>
      <c r="E116" s="14"/>
      <c r="F116" s="20"/>
      <c r="G116" s="20"/>
      <c r="H116" s="20"/>
      <c r="I116" s="20"/>
      <c r="J116" s="20"/>
      <c r="K116" s="20"/>
      <c r="L116" s="20"/>
      <c r="M116" s="20"/>
      <c r="N116" s="20"/>
      <c r="O116" s="42"/>
    </row>
    <row r="117" spans="1:15" s="5" customFormat="1" ht="15" customHeight="1">
      <c r="A117" s="5" t="s">
        <v>143</v>
      </c>
      <c r="B117" s="417" t="s">
        <v>136</v>
      </c>
      <c r="C117" s="413"/>
      <c r="D117" s="414"/>
      <c r="E117" s="414"/>
      <c r="F117" s="415"/>
      <c r="G117" s="415"/>
      <c r="H117" s="415"/>
      <c r="I117" s="415"/>
      <c r="J117" s="415"/>
      <c r="K117" s="415"/>
      <c r="L117" s="418"/>
      <c r="M117" s="415"/>
      <c r="N117" s="416"/>
      <c r="O117" s="42"/>
    </row>
    <row r="118" spans="1:15" s="5" customFormat="1" ht="15" customHeight="1" outlineLevel="1">
      <c r="B118" s="6"/>
      <c r="C118" s="7"/>
      <c r="D118" s="8"/>
      <c r="E118" s="8"/>
      <c r="F118" s="9"/>
      <c r="G118" s="9"/>
      <c r="H118" s="9"/>
      <c r="I118" s="9"/>
      <c r="J118" s="9"/>
      <c r="K118" s="9"/>
      <c r="L118" s="9"/>
      <c r="M118" s="9"/>
      <c r="O118" s="45"/>
    </row>
    <row r="119" spans="1:15" s="5" customFormat="1" ht="15" customHeight="1" outlineLevel="1" thickBot="1">
      <c r="B119" s="10" t="s">
        <v>19</v>
      </c>
      <c r="C119" s="7"/>
      <c r="D119" s="11"/>
      <c r="E119" s="11"/>
      <c r="F119" s="106">
        <f t="shared" ref="F119:K119" si="49">G$5</f>
        <v>1</v>
      </c>
      <c r="G119" s="102">
        <f t="shared" si="49"/>
        <v>2</v>
      </c>
      <c r="H119" s="102">
        <f t="shared" si="49"/>
        <v>3</v>
      </c>
      <c r="I119" s="102">
        <f t="shared" si="49"/>
        <v>4</v>
      </c>
      <c r="J119" s="458">
        <f t="shared" si="49"/>
        <v>5</v>
      </c>
      <c r="K119" s="458">
        <f t="shared" si="49"/>
        <v>6</v>
      </c>
      <c r="L119" s="458" t="s">
        <v>78</v>
      </c>
    </row>
    <row r="120" spans="1:15" ht="15" customHeight="1" outlineLevel="1">
      <c r="A120" s="12"/>
      <c r="B120" s="10" t="str">
        <f>$B$6</f>
        <v>Best Case</v>
      </c>
      <c r="C120" s="7"/>
      <c r="D120" s="11"/>
      <c r="E120" s="11"/>
      <c r="F120" s="11"/>
      <c r="G120" s="39"/>
      <c r="H120" s="39"/>
      <c r="I120" s="39"/>
      <c r="J120" s="458"/>
      <c r="K120" s="458"/>
      <c r="L120" s="458"/>
    </row>
    <row r="121" spans="1:15" s="5" customFormat="1" ht="15" customHeight="1" outlineLevel="1">
      <c r="B121" s="10"/>
      <c r="C121" s="7"/>
      <c r="D121" s="11"/>
      <c r="E121" s="11"/>
      <c r="F121" s="11"/>
      <c r="J121" s="460"/>
      <c r="K121" s="460"/>
      <c r="L121" s="460"/>
      <c r="M121" s="45"/>
    </row>
    <row r="122" spans="1:15" s="12" customFormat="1" ht="15" customHeight="1" outlineLevel="1">
      <c r="B122" s="107" t="s">
        <v>1</v>
      </c>
      <c r="C122" s="21"/>
      <c r="D122" s="22"/>
      <c r="E122" s="14"/>
      <c r="F122" s="142">
        <f t="shared" ref="F122:L122" si="50">G$8</f>
        <v>365</v>
      </c>
      <c r="G122" s="142">
        <f t="shared" si="50"/>
        <v>365</v>
      </c>
      <c r="H122" s="142">
        <f t="shared" si="50"/>
        <v>365</v>
      </c>
      <c r="I122" s="142">
        <f t="shared" si="50"/>
        <v>365</v>
      </c>
      <c r="J122" s="459">
        <f t="shared" si="50"/>
        <v>365</v>
      </c>
      <c r="K122" s="459">
        <f t="shared" si="50"/>
        <v>365</v>
      </c>
      <c r="L122" s="459">
        <f t="shared" si="50"/>
        <v>365</v>
      </c>
      <c r="M122" s="42"/>
    </row>
    <row r="123" spans="1:15" s="12" customFormat="1" ht="15" customHeight="1" outlineLevel="1">
      <c r="B123" s="107" t="s">
        <v>0</v>
      </c>
      <c r="C123" s="14"/>
      <c r="D123" s="14"/>
      <c r="E123" s="14"/>
      <c r="F123" s="30">
        <f t="shared" ref="F123:L124" si="51">G93</f>
        <v>390000</v>
      </c>
      <c r="G123" s="30">
        <f t="shared" si="51"/>
        <v>493349.99999999994</v>
      </c>
      <c r="H123" s="30">
        <f t="shared" si="51"/>
        <v>624087.74999999988</v>
      </c>
      <c r="I123" s="30">
        <f t="shared" si="51"/>
        <v>789471.00375000003</v>
      </c>
      <c r="J123" s="459" t="e">
        <f t="shared" si="51"/>
        <v>#REF!</v>
      </c>
      <c r="K123" s="459" t="e">
        <f t="shared" si="51"/>
        <v>#REF!</v>
      </c>
      <c r="L123" s="459" t="e">
        <f t="shared" si="51"/>
        <v>#REF!</v>
      </c>
      <c r="M123" s="42"/>
    </row>
    <row r="124" spans="1:15" s="12" customFormat="1" ht="15" customHeight="1" outlineLevel="1">
      <c r="B124" s="107" t="s">
        <v>124</v>
      </c>
      <c r="C124" s="14"/>
      <c r="D124" s="14"/>
      <c r="E124" s="14"/>
      <c r="F124" s="31">
        <f t="shared" si="51"/>
        <v>355000</v>
      </c>
      <c r="G124" s="31">
        <f t="shared" si="51"/>
        <v>395369.99999999994</v>
      </c>
      <c r="H124" s="31">
        <f t="shared" si="51"/>
        <v>438892.78500000003</v>
      </c>
      <c r="I124" s="31">
        <f t="shared" si="51"/>
        <v>487932.25765500008</v>
      </c>
      <c r="J124" s="459" t="e">
        <f t="shared" si="51"/>
        <v>#REF!</v>
      </c>
      <c r="K124" s="459" t="e">
        <f t="shared" si="51"/>
        <v>#REF!</v>
      </c>
      <c r="L124" s="459" t="e">
        <f t="shared" si="51"/>
        <v>#REF!</v>
      </c>
      <c r="M124" s="42"/>
    </row>
    <row r="125" spans="1:15" s="12" customFormat="1" ht="15" customHeight="1" outlineLevel="1">
      <c r="C125" s="17"/>
      <c r="D125" s="14"/>
      <c r="E125" s="14"/>
      <c r="F125" s="14"/>
      <c r="G125" s="19"/>
      <c r="H125" s="19"/>
      <c r="I125" s="19"/>
      <c r="J125" s="461"/>
      <c r="K125" s="461"/>
      <c r="L125" s="461"/>
      <c r="M125" s="45"/>
    </row>
    <row r="126" spans="1:15" s="12" customFormat="1" ht="15" customHeight="1" outlineLevel="1">
      <c r="C126" s="17"/>
      <c r="D126" s="14"/>
      <c r="E126" s="14"/>
      <c r="F126" s="14"/>
      <c r="G126" s="19"/>
      <c r="H126" s="19"/>
      <c r="I126" s="19"/>
      <c r="J126" s="461"/>
      <c r="K126" s="461"/>
      <c r="L126" s="461"/>
      <c r="M126" s="45"/>
    </row>
    <row r="127" spans="1:15" s="12" customFormat="1" ht="15" customHeight="1" outlineLevel="1">
      <c r="C127" s="17"/>
      <c r="D127" s="14"/>
      <c r="E127" s="14"/>
      <c r="F127" s="14"/>
      <c r="G127" s="19"/>
      <c r="H127" s="19"/>
      <c r="I127" s="19"/>
      <c r="J127" s="461"/>
      <c r="K127" s="461"/>
      <c r="L127" s="461"/>
      <c r="M127" s="45"/>
    </row>
    <row r="128" spans="1:15" s="12" customFormat="1" ht="15" customHeight="1" outlineLevel="1">
      <c r="C128" s="17"/>
      <c r="D128" s="14"/>
      <c r="E128" s="14"/>
      <c r="F128" s="14"/>
      <c r="G128" s="19"/>
      <c r="H128" s="19"/>
      <c r="I128" s="19"/>
      <c r="J128" s="461"/>
      <c r="K128" s="461"/>
      <c r="L128" s="461"/>
      <c r="M128" s="45"/>
    </row>
    <row r="129" spans="2:13" s="12" customFormat="1" ht="15" customHeight="1" outlineLevel="1">
      <c r="B129" s="16" t="s">
        <v>236</v>
      </c>
      <c r="C129" s="17"/>
      <c r="D129" s="14"/>
      <c r="E129" s="14"/>
      <c r="F129" s="14"/>
      <c r="G129" s="19"/>
      <c r="H129" s="19"/>
      <c r="I129" s="19"/>
      <c r="J129" s="461"/>
      <c r="K129" s="461"/>
      <c r="L129" s="461"/>
      <c r="M129" s="45"/>
    </row>
    <row r="130" spans="2:13" s="12" customFormat="1" ht="15" customHeight="1" outlineLevel="1">
      <c r="B130" s="269" t="s">
        <v>2</v>
      </c>
      <c r="C130" s="14"/>
      <c r="D130" s="22" t="s">
        <v>3</v>
      </c>
      <c r="E130" s="22"/>
      <c r="F130" s="432">
        <v>0.2</v>
      </c>
      <c r="G130" s="432">
        <f>Inputs!G35</f>
        <v>0.2</v>
      </c>
      <c r="H130" s="432">
        <f>Inputs!H35</f>
        <v>0.2</v>
      </c>
      <c r="I130" s="432">
        <f>Inputs!I35</f>
        <v>0.2</v>
      </c>
      <c r="J130" s="473" t="e">
        <f>Inputs!#REF!</f>
        <v>#REF!</v>
      </c>
      <c r="K130" s="473" t="e">
        <f>Inputs!#REF!</f>
        <v>#REF!</v>
      </c>
      <c r="L130" s="473">
        <f>Inputs!J35</f>
        <v>0.2</v>
      </c>
    </row>
    <row r="131" spans="2:13" s="12" customFormat="1" ht="15" customHeight="1" outlineLevel="1">
      <c r="B131" s="269" t="s">
        <v>4</v>
      </c>
      <c r="C131" s="14"/>
      <c r="D131" s="22" t="s">
        <v>3</v>
      </c>
      <c r="E131" s="22"/>
      <c r="F131" s="432">
        <v>0.2</v>
      </c>
      <c r="G131" s="432">
        <f>Inputs!G36</f>
        <v>0.2</v>
      </c>
      <c r="H131" s="432">
        <f>Inputs!H36</f>
        <v>0.2</v>
      </c>
      <c r="I131" s="432">
        <f>Inputs!I36</f>
        <v>0.2</v>
      </c>
      <c r="J131" s="473" t="e">
        <f>Inputs!#REF!</f>
        <v>#REF!</v>
      </c>
      <c r="K131" s="473" t="e">
        <f>Inputs!#REF!</f>
        <v>#REF!</v>
      </c>
      <c r="L131" s="473">
        <f>Inputs!J36</f>
        <v>0.2</v>
      </c>
    </row>
    <row r="132" spans="2:13" s="12" customFormat="1" ht="15" customHeight="1" outlineLevel="1">
      <c r="B132" s="269" t="s">
        <v>5</v>
      </c>
      <c r="C132" s="14"/>
      <c r="D132" s="22" t="s">
        <v>3</v>
      </c>
      <c r="E132" s="22"/>
      <c r="F132" s="432">
        <v>0.3</v>
      </c>
      <c r="G132" s="432">
        <f>Inputs!G37</f>
        <v>0.3</v>
      </c>
      <c r="H132" s="432">
        <f>Inputs!H37</f>
        <v>0.3</v>
      </c>
      <c r="I132" s="432">
        <f>Inputs!I37</f>
        <v>0.3</v>
      </c>
      <c r="J132" s="473" t="e">
        <f>Inputs!#REF!</f>
        <v>#REF!</v>
      </c>
      <c r="K132" s="473" t="e">
        <f>Inputs!#REF!</f>
        <v>#REF!</v>
      </c>
      <c r="L132" s="473">
        <f>Inputs!J37</f>
        <v>0.3</v>
      </c>
    </row>
    <row r="133" spans="2:13" s="12" customFormat="1" ht="15" customHeight="1" outlineLevel="1">
      <c r="C133" s="14"/>
      <c r="D133" s="26"/>
      <c r="E133" s="26"/>
      <c r="F133" s="25"/>
      <c r="G133" s="27"/>
      <c r="H133" s="27"/>
      <c r="I133" s="27"/>
      <c r="J133" s="461"/>
      <c r="K133" s="461"/>
      <c r="L133" s="461"/>
    </row>
    <row r="134" spans="2:13" s="12" customFormat="1" ht="15" customHeight="1" outlineLevel="1">
      <c r="C134" s="14"/>
      <c r="D134" s="26"/>
      <c r="E134" s="26"/>
      <c r="F134" s="25"/>
      <c r="G134" s="27"/>
      <c r="H134" s="27"/>
      <c r="I134" s="27"/>
      <c r="J134" s="461"/>
      <c r="K134" s="461"/>
      <c r="L134" s="461"/>
    </row>
    <row r="135" spans="2:13" s="12" customFormat="1" ht="15" customHeight="1" outlineLevel="1">
      <c r="B135" s="16" t="s">
        <v>123</v>
      </c>
      <c r="C135" s="17"/>
      <c r="D135" s="14"/>
      <c r="E135" s="14"/>
      <c r="F135" s="14"/>
      <c r="G135" s="19"/>
      <c r="H135" s="19"/>
      <c r="I135" s="19"/>
      <c r="J135" s="461"/>
      <c r="K135" s="461"/>
      <c r="L135" s="461"/>
      <c r="M135" s="45"/>
    </row>
    <row r="136" spans="2:13" s="12" customFormat="1" ht="15" customHeight="1" outlineLevel="1">
      <c r="B136" s="269" t="s">
        <v>2</v>
      </c>
      <c r="C136" s="14"/>
      <c r="D136" s="14"/>
      <c r="E136" s="14"/>
      <c r="F136" s="40">
        <f>F130*F123</f>
        <v>78000</v>
      </c>
      <c r="G136" s="30">
        <f>G130*G123</f>
        <v>98670</v>
      </c>
      <c r="H136" s="30">
        <f>H130*H123</f>
        <v>124817.54999999999</v>
      </c>
      <c r="I136" s="30">
        <f t="shared" ref="I136:K136" si="52">I130*I123</f>
        <v>157894.20075000002</v>
      </c>
      <c r="J136" s="459" t="e">
        <f t="shared" si="52"/>
        <v>#REF!</v>
      </c>
      <c r="K136" s="459" t="e">
        <f t="shared" si="52"/>
        <v>#REF!</v>
      </c>
      <c r="L136" s="459" t="e">
        <f>L130*L123</f>
        <v>#REF!</v>
      </c>
      <c r="M136" s="45"/>
    </row>
    <row r="137" spans="2:13" s="12" customFormat="1" ht="15" customHeight="1" outlineLevel="1">
      <c r="B137" s="269" t="s">
        <v>4</v>
      </c>
      <c r="C137" s="14"/>
      <c r="D137" s="14"/>
      <c r="E137" s="14"/>
      <c r="F137" s="40">
        <f>F131*F124</f>
        <v>71000</v>
      </c>
      <c r="G137" s="30">
        <f>G131*G124</f>
        <v>79074</v>
      </c>
      <c r="H137" s="30">
        <f t="shared" ref="H137:L137" si="53">H131*H124</f>
        <v>87778.557000000015</v>
      </c>
      <c r="I137" s="30">
        <f t="shared" si="53"/>
        <v>97586.451531000028</v>
      </c>
      <c r="J137" s="459" t="e">
        <f t="shared" si="53"/>
        <v>#REF!</v>
      </c>
      <c r="K137" s="459" t="e">
        <f t="shared" si="53"/>
        <v>#REF!</v>
      </c>
      <c r="L137" s="459" t="e">
        <f t="shared" si="53"/>
        <v>#REF!</v>
      </c>
      <c r="M137" s="45"/>
    </row>
    <row r="138" spans="2:13" s="12" customFormat="1" ht="15" customHeight="1" outlineLevel="1">
      <c r="B138" s="269" t="s">
        <v>5</v>
      </c>
      <c r="C138" s="14"/>
      <c r="D138" s="14"/>
      <c r="E138" s="14"/>
      <c r="F138" s="40">
        <f>F132*F124</f>
        <v>106500</v>
      </c>
      <c r="G138" s="30">
        <f>G132*G124</f>
        <v>118610.99999999997</v>
      </c>
      <c r="H138" s="30">
        <f t="shared" ref="H138:L138" si="54">H132*H124</f>
        <v>131667.83550000002</v>
      </c>
      <c r="I138" s="30">
        <f t="shared" si="54"/>
        <v>146379.67729650001</v>
      </c>
      <c r="J138" s="459" t="e">
        <f t="shared" si="54"/>
        <v>#REF!</v>
      </c>
      <c r="K138" s="459" t="e">
        <f t="shared" si="54"/>
        <v>#REF!</v>
      </c>
      <c r="L138" s="459" t="e">
        <f t="shared" si="54"/>
        <v>#REF!</v>
      </c>
      <c r="M138" s="45"/>
    </row>
    <row r="139" spans="2:13" s="12" customFormat="1" ht="15" customHeight="1" outlineLevel="1">
      <c r="C139" s="17"/>
      <c r="D139" s="14"/>
      <c r="E139" s="14"/>
      <c r="F139" s="14"/>
      <c r="G139" s="19"/>
      <c r="H139" s="19"/>
      <c r="I139" s="19"/>
      <c r="J139" s="461"/>
      <c r="K139" s="461"/>
      <c r="L139" s="461"/>
      <c r="M139" s="45"/>
    </row>
    <row r="140" spans="2:13" s="12" customFormat="1" ht="15" customHeight="1" outlineLevel="1">
      <c r="B140" s="16" t="s">
        <v>279</v>
      </c>
      <c r="C140" s="17"/>
      <c r="D140" s="14"/>
      <c r="E140" s="14"/>
      <c r="F140" s="14"/>
      <c r="G140" s="14"/>
      <c r="H140" s="14"/>
      <c r="I140" s="19"/>
      <c r="J140" s="461"/>
      <c r="K140" s="461"/>
      <c r="L140" s="461"/>
      <c r="M140" s="19"/>
    </row>
    <row r="141" spans="2:13" s="12" customFormat="1" ht="15" customHeight="1" outlineLevel="1">
      <c r="B141" s="269" t="s">
        <v>2</v>
      </c>
      <c r="C141" s="14"/>
      <c r="D141" s="14"/>
      <c r="E141" s="14"/>
      <c r="F141" s="30">
        <f>75000-F136</f>
        <v>-3000</v>
      </c>
      <c r="G141" s="30">
        <f t="shared" ref="G141:L141" si="55">F136-G136</f>
        <v>-20670</v>
      </c>
      <c r="H141" s="30">
        <f t="shared" si="55"/>
        <v>-26147.549999999988</v>
      </c>
      <c r="I141" s="30">
        <f t="shared" si="55"/>
        <v>-33076.65075000003</v>
      </c>
      <c r="J141" s="459" t="e">
        <f t="shared" si="55"/>
        <v>#REF!</v>
      </c>
      <c r="K141" s="459" t="e">
        <f t="shared" si="55"/>
        <v>#REF!</v>
      </c>
      <c r="L141" s="459" t="e">
        <f t="shared" si="55"/>
        <v>#REF!</v>
      </c>
    </row>
    <row r="142" spans="2:13" s="12" customFormat="1" ht="15" customHeight="1" outlineLevel="1">
      <c r="B142" s="269" t="s">
        <v>4</v>
      </c>
      <c r="C142" s="14"/>
      <c r="D142" s="14"/>
      <c r="E142" s="14"/>
      <c r="F142" s="30">
        <f>50000-F137</f>
        <v>-21000</v>
      </c>
      <c r="G142" s="30">
        <f t="shared" ref="G142:L142" si="56">F137-G137</f>
        <v>-8074</v>
      </c>
      <c r="H142" s="30">
        <f t="shared" si="56"/>
        <v>-8704.5570000000153</v>
      </c>
      <c r="I142" s="30">
        <f t="shared" si="56"/>
        <v>-9807.8945310000126</v>
      </c>
      <c r="J142" s="459" t="e">
        <f t="shared" si="56"/>
        <v>#REF!</v>
      </c>
      <c r="K142" s="459" t="e">
        <f t="shared" si="56"/>
        <v>#REF!</v>
      </c>
      <c r="L142" s="459" t="e">
        <f t="shared" si="56"/>
        <v>#REF!</v>
      </c>
    </row>
    <row r="143" spans="2:13" s="12" customFormat="1" ht="15" customHeight="1" outlineLevel="1">
      <c r="B143" s="269" t="s">
        <v>5</v>
      </c>
      <c r="C143" s="14"/>
      <c r="D143" s="14"/>
      <c r="E143" s="14"/>
      <c r="F143" s="30">
        <f>-70000+F138</f>
        <v>36500</v>
      </c>
      <c r="G143" s="30">
        <f t="shared" ref="G143:L143" si="57">G138-F138</f>
        <v>12110.999999999971</v>
      </c>
      <c r="H143" s="30">
        <f t="shared" si="57"/>
        <v>13056.835500000045</v>
      </c>
      <c r="I143" s="30">
        <f t="shared" si="57"/>
        <v>14711.841796499997</v>
      </c>
      <c r="J143" s="459" t="e">
        <f t="shared" si="57"/>
        <v>#REF!</v>
      </c>
      <c r="K143" s="459" t="e">
        <f t="shared" si="57"/>
        <v>#REF!</v>
      </c>
      <c r="L143" s="459" t="e">
        <f t="shared" si="57"/>
        <v>#REF!</v>
      </c>
    </row>
    <row r="144" spans="2:13" s="12" customFormat="1" ht="15" customHeight="1" outlineLevel="1" thickBot="1">
      <c r="B144" s="269" t="s">
        <v>133</v>
      </c>
      <c r="C144" s="17"/>
      <c r="D144" s="17"/>
      <c r="E144" s="17"/>
      <c r="F144" s="457">
        <f>SUM(F141:F143)</f>
        <v>12500</v>
      </c>
      <c r="G144" s="457">
        <f t="shared" ref="G144:L144" si="58">SUM(G141:G143)</f>
        <v>-16633.000000000029</v>
      </c>
      <c r="H144" s="457">
        <f t="shared" si="58"/>
        <v>-21795.271499999959</v>
      </c>
      <c r="I144" s="457">
        <f t="shared" si="58"/>
        <v>-28172.703484500045</v>
      </c>
      <c r="J144" s="474" t="e">
        <f t="shared" si="58"/>
        <v>#REF!</v>
      </c>
      <c r="K144" s="474" t="e">
        <f t="shared" si="58"/>
        <v>#REF!</v>
      </c>
      <c r="L144" s="474" t="e">
        <f t="shared" si="58"/>
        <v>#REF!</v>
      </c>
    </row>
    <row r="145" spans="1:15" s="12" customFormat="1" ht="15" customHeight="1" outlineLevel="1">
      <c r="C145" s="17"/>
      <c r="D145" s="14"/>
      <c r="E145" s="14"/>
      <c r="F145" s="14"/>
      <c r="G145" s="19"/>
      <c r="H145" s="19"/>
      <c r="I145" s="19"/>
      <c r="J145" s="461"/>
      <c r="K145" s="461"/>
      <c r="L145" s="461"/>
      <c r="M145" s="45"/>
    </row>
    <row r="146" spans="1:15" s="12" customFormat="1" ht="15" customHeight="1" outlineLevel="1">
      <c r="C146" s="17"/>
      <c r="D146" s="14"/>
      <c r="E146" s="14"/>
      <c r="F146" s="14"/>
      <c r="G146" s="19"/>
      <c r="H146" s="19"/>
      <c r="I146" s="19"/>
      <c r="J146" s="461"/>
      <c r="K146" s="461"/>
      <c r="L146" s="461"/>
      <c r="M146" s="45"/>
    </row>
    <row r="147" spans="1:15" s="12" customFormat="1" ht="15" customHeight="1" outlineLevel="1">
      <c r="B147" s="16" t="s">
        <v>134</v>
      </c>
      <c r="C147" s="17"/>
      <c r="D147" s="14"/>
      <c r="E147" s="14"/>
      <c r="F147" s="14"/>
      <c r="G147" s="19"/>
      <c r="H147" s="19"/>
      <c r="I147" s="19"/>
      <c r="J147" s="461"/>
      <c r="K147" s="461"/>
      <c r="L147" s="461"/>
      <c r="M147" s="45"/>
    </row>
    <row r="148" spans="1:15" s="12" customFormat="1" ht="15" customHeight="1" outlineLevel="1">
      <c r="B148" s="269" t="s">
        <v>131</v>
      </c>
      <c r="C148" s="14"/>
      <c r="D148" s="14"/>
      <c r="E148" s="14"/>
      <c r="F148" s="30">
        <f t="shared" ref="F148:L148" si="59">SUM(F136:F137)</f>
        <v>149000</v>
      </c>
      <c r="G148" s="30">
        <f t="shared" si="59"/>
        <v>177744</v>
      </c>
      <c r="H148" s="30">
        <f t="shared" si="59"/>
        <v>212596.10700000002</v>
      </c>
      <c r="I148" s="30">
        <f t="shared" si="59"/>
        <v>255480.65228100005</v>
      </c>
      <c r="J148" s="459" t="e">
        <f t="shared" si="59"/>
        <v>#REF!</v>
      </c>
      <c r="K148" s="459" t="e">
        <f t="shared" si="59"/>
        <v>#REF!</v>
      </c>
      <c r="L148" s="459" t="e">
        <f t="shared" si="59"/>
        <v>#REF!</v>
      </c>
      <c r="M148" s="45"/>
    </row>
    <row r="149" spans="1:15" s="12" customFormat="1" ht="15" customHeight="1" outlineLevel="1">
      <c r="B149" s="269" t="s">
        <v>132</v>
      </c>
      <c r="C149" s="14"/>
      <c r="D149" s="14"/>
      <c r="E149" s="14"/>
      <c r="F149" s="31">
        <f t="shared" ref="F149:L149" si="60">SUM(F138)</f>
        <v>106500</v>
      </c>
      <c r="G149" s="31">
        <f>SUM(G138)</f>
        <v>118610.99999999997</v>
      </c>
      <c r="H149" s="31">
        <f t="shared" si="60"/>
        <v>131667.83550000002</v>
      </c>
      <c r="I149" s="31">
        <f>SUM(I138)</f>
        <v>146379.67729650001</v>
      </c>
      <c r="J149" s="459" t="e">
        <f t="shared" si="60"/>
        <v>#REF!</v>
      </c>
      <c r="K149" s="459" t="e">
        <f>SUM(K138)</f>
        <v>#REF!</v>
      </c>
      <c r="L149" s="459" t="e">
        <f t="shared" si="60"/>
        <v>#REF!</v>
      </c>
      <c r="M149" s="45"/>
    </row>
    <row r="150" spans="1:15" s="12" customFormat="1" ht="15" customHeight="1" outlineLevel="1">
      <c r="B150" s="269" t="s">
        <v>6</v>
      </c>
      <c r="C150" s="14"/>
      <c r="D150" s="14"/>
      <c r="E150" s="14"/>
      <c r="F150" s="30">
        <f t="shared" ref="F150:L150" si="61">F148-F149</f>
        <v>42500</v>
      </c>
      <c r="G150" s="30">
        <f>G148-G149</f>
        <v>59133.000000000029</v>
      </c>
      <c r="H150" s="30">
        <f t="shared" si="61"/>
        <v>80928.271500000003</v>
      </c>
      <c r="I150" s="30">
        <f>I148-I149</f>
        <v>109100.97498450003</v>
      </c>
      <c r="J150" s="459" t="e">
        <f t="shared" si="61"/>
        <v>#REF!</v>
      </c>
      <c r="K150" s="459" t="e">
        <f>K148-K149</f>
        <v>#REF!</v>
      </c>
      <c r="L150" s="459" t="e">
        <f t="shared" si="61"/>
        <v>#REF!</v>
      </c>
      <c r="M150" s="45"/>
    </row>
    <row r="151" spans="1:15" s="12" customFormat="1" ht="15" customHeight="1" outlineLevel="1">
      <c r="B151" s="55"/>
      <c r="C151" s="17"/>
      <c r="D151" s="14"/>
      <c r="E151" s="14"/>
      <c r="F151" s="14"/>
      <c r="G151" s="19"/>
      <c r="H151" s="19"/>
      <c r="I151" s="19"/>
      <c r="J151" s="461"/>
      <c r="K151" s="461"/>
      <c r="L151" s="461"/>
      <c r="M151" s="45"/>
    </row>
    <row r="152" spans="1:15" s="12" customFormat="1" ht="15" customHeight="1" outlineLevel="1">
      <c r="B152" s="55"/>
      <c r="C152" s="17"/>
      <c r="D152" s="14"/>
      <c r="E152" s="14"/>
      <c r="F152" s="14"/>
      <c r="G152" s="19"/>
      <c r="H152" s="19"/>
      <c r="I152" s="19"/>
      <c r="J152" s="461"/>
      <c r="K152" s="461"/>
      <c r="L152" s="461"/>
      <c r="M152" s="45"/>
    </row>
    <row r="153" spans="1:15" s="12" customFormat="1" ht="15" customHeight="1" outlineLevel="1" thickBot="1">
      <c r="B153" s="270" t="s">
        <v>133</v>
      </c>
      <c r="C153" s="17"/>
      <c r="D153" s="17"/>
      <c r="E153" s="17"/>
      <c r="F153" s="346">
        <f>F150</f>
        <v>42500</v>
      </c>
      <c r="G153" s="346">
        <f t="shared" ref="G153:L153" si="62">F150-G150</f>
        <v>-16633.000000000029</v>
      </c>
      <c r="H153" s="346">
        <f t="shared" si="62"/>
        <v>-21795.271499999973</v>
      </c>
      <c r="I153" s="346">
        <f t="shared" si="62"/>
        <v>-28172.703484500031</v>
      </c>
      <c r="J153" s="475" t="e">
        <f t="shared" si="62"/>
        <v>#REF!</v>
      </c>
      <c r="K153" s="475" t="e">
        <f t="shared" si="62"/>
        <v>#REF!</v>
      </c>
      <c r="L153" s="475" t="e">
        <f t="shared" si="62"/>
        <v>#REF!</v>
      </c>
      <c r="M153" s="45"/>
    </row>
    <row r="154" spans="1:15" s="12" customFormat="1" ht="15" customHeight="1" outlineLevel="1">
      <c r="C154" s="17"/>
      <c r="D154" s="17"/>
      <c r="E154" s="17"/>
      <c r="F154" s="17"/>
      <c r="G154" s="250"/>
      <c r="H154" s="250"/>
      <c r="I154" s="250"/>
      <c r="J154" s="250"/>
      <c r="K154" s="250"/>
      <c r="L154" s="250"/>
      <c r="M154" s="250"/>
      <c r="N154" s="250"/>
      <c r="O154" s="45"/>
    </row>
    <row r="155" spans="1:15" s="12" customFormat="1" ht="15" customHeight="1" outlineLevel="1">
      <c r="C155" s="17"/>
      <c r="D155" s="17"/>
      <c r="E155" s="17"/>
      <c r="F155" s="17"/>
      <c r="G155" s="250"/>
      <c r="H155" s="250"/>
      <c r="I155" s="250"/>
      <c r="J155" s="250"/>
      <c r="K155" s="250"/>
      <c r="L155" s="250"/>
      <c r="M155" s="250"/>
      <c r="N155" s="250"/>
      <c r="O155" s="45"/>
    </row>
    <row r="156" spans="1:15" s="5" customFormat="1" ht="15" customHeight="1" outlineLevel="1">
      <c r="C156" s="7"/>
      <c r="D156" s="11"/>
      <c r="E156" s="11"/>
      <c r="F156" s="11"/>
      <c r="G156" s="11"/>
      <c r="H156" s="11"/>
      <c r="I156" s="39"/>
      <c r="J156" s="39"/>
      <c r="K156" s="39"/>
      <c r="N156" s="251" t="s">
        <v>199</v>
      </c>
      <c r="O156" s="42"/>
    </row>
    <row r="157" spans="1:15" s="12" customFormat="1" ht="15" customHeight="1" outlineLevel="1">
      <c r="B157" s="14"/>
      <c r="C157" s="14"/>
      <c r="D157" s="19"/>
      <c r="E157" s="19"/>
      <c r="F157" s="19"/>
      <c r="G157" s="19"/>
      <c r="H157" s="19"/>
      <c r="I157" s="19"/>
      <c r="J157" s="19"/>
      <c r="K157" s="19"/>
      <c r="L157" s="19"/>
      <c r="M157" s="14"/>
      <c r="O157" s="45"/>
    </row>
    <row r="158" spans="1:15" s="12" customFormat="1" ht="15" customHeight="1" outlineLevel="1"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45"/>
    </row>
    <row r="159" spans="1:15" s="12" customFormat="1" ht="15" customHeight="1">
      <c r="B159" s="13"/>
      <c r="C159" s="21"/>
      <c r="D159" s="22"/>
      <c r="E159" s="14"/>
      <c r="F159" s="20"/>
      <c r="G159" s="20"/>
      <c r="H159" s="20"/>
      <c r="I159" s="20"/>
      <c r="J159" s="20"/>
      <c r="K159" s="20"/>
      <c r="L159" s="20"/>
      <c r="M159" s="20"/>
      <c r="N159" s="20"/>
      <c r="O159" s="42"/>
    </row>
    <row r="160" spans="1:15" s="5" customFormat="1" ht="15" customHeight="1">
      <c r="A160" s="5" t="s">
        <v>143</v>
      </c>
      <c r="B160" s="417" t="s">
        <v>142</v>
      </c>
      <c r="C160" s="413"/>
      <c r="D160" s="414"/>
      <c r="E160" s="414"/>
      <c r="F160" s="415"/>
      <c r="G160" s="415"/>
      <c r="H160" s="415"/>
      <c r="I160" s="415"/>
      <c r="J160" s="415"/>
      <c r="K160" s="415"/>
      <c r="L160" s="418"/>
      <c r="M160" s="415"/>
      <c r="N160" s="416"/>
    </row>
    <row r="161" spans="1:15" s="5" customFormat="1" ht="15" customHeight="1" outlineLevel="1">
      <c r="B161" s="6"/>
      <c r="C161" s="7"/>
      <c r="D161" s="8"/>
      <c r="E161" s="8"/>
      <c r="F161" s="9"/>
      <c r="G161" s="9"/>
      <c r="H161" s="9"/>
      <c r="I161" s="9"/>
      <c r="J161" s="9"/>
      <c r="K161" s="9"/>
      <c r="L161" s="9"/>
      <c r="M161" s="9"/>
    </row>
    <row r="162" spans="1:15" s="5" customFormat="1" ht="15" customHeight="1" outlineLevel="1" thickBot="1">
      <c r="B162" s="10" t="s">
        <v>19</v>
      </c>
      <c r="C162" s="7"/>
      <c r="D162" s="11"/>
      <c r="E162" s="11"/>
      <c r="F162" s="106">
        <f t="shared" ref="F162:K162" si="63">G$5</f>
        <v>1</v>
      </c>
      <c r="G162" s="102">
        <f t="shared" si="63"/>
        <v>2</v>
      </c>
      <c r="H162" s="102">
        <f t="shared" si="63"/>
        <v>3</v>
      </c>
      <c r="I162" s="102">
        <f t="shared" si="63"/>
        <v>4</v>
      </c>
      <c r="J162" s="102">
        <f t="shared" si="63"/>
        <v>5</v>
      </c>
      <c r="K162" s="102">
        <f t="shared" si="63"/>
        <v>6</v>
      </c>
    </row>
    <row r="163" spans="1:15" ht="15" customHeight="1" outlineLevel="1">
      <c r="A163" s="12"/>
      <c r="B163" s="10" t="str">
        <f>$B$6</f>
        <v>Best Case</v>
      </c>
      <c r="C163" s="7"/>
      <c r="D163" s="11"/>
      <c r="E163" s="11"/>
      <c r="F163" s="11"/>
      <c r="G163" s="39"/>
      <c r="H163" s="39"/>
      <c r="I163" s="39"/>
      <c r="J163" s="39"/>
      <c r="K163" s="39"/>
      <c r="L163" s="39"/>
    </row>
    <row r="164" spans="1:15" s="5" customFormat="1" ht="15" customHeight="1" outlineLevel="1">
      <c r="B164" s="10"/>
      <c r="C164" s="7"/>
      <c r="D164" s="11"/>
      <c r="E164" s="11"/>
      <c r="F164" s="128"/>
      <c r="G164" s="128"/>
      <c r="H164" s="128"/>
      <c r="I164" s="128"/>
      <c r="J164" s="128"/>
      <c r="K164" s="128"/>
    </row>
    <row r="165" spans="1:15" s="5" customFormat="1" ht="15" customHeight="1" outlineLevel="1">
      <c r="B165" s="259" t="s">
        <v>179</v>
      </c>
      <c r="C165" s="7"/>
      <c r="D165" s="11"/>
      <c r="E165" s="11"/>
      <c r="F165" s="182">
        <v>4400</v>
      </c>
      <c r="G165" s="402">
        <f>Inputs!G24</f>
        <v>4000</v>
      </c>
      <c r="H165" s="402">
        <f>Inputs!H24</f>
        <v>4300</v>
      </c>
      <c r="I165" s="402">
        <f>Inputs!I24</f>
        <v>4400</v>
      </c>
      <c r="J165" s="402" t="e">
        <f>Inputs!#REF!</f>
        <v>#REF!</v>
      </c>
      <c r="K165" s="405" t="e">
        <f>Inputs!#REF!</f>
        <v>#REF!</v>
      </c>
    </row>
    <row r="166" spans="1:15" s="5" customFormat="1" ht="15" customHeight="1" outlineLevel="1">
      <c r="B166" s="192"/>
      <c r="C166" s="7"/>
      <c r="D166" s="11"/>
      <c r="E166" s="11"/>
      <c r="F166" s="40"/>
      <c r="G166" s="40"/>
      <c r="H166" s="40"/>
      <c r="I166" s="30"/>
      <c r="J166" s="30"/>
      <c r="K166" s="30"/>
      <c r="L166" s="30"/>
      <c r="M166" s="30"/>
    </row>
    <row r="167" spans="1:15" s="5" customFormat="1" ht="15" customHeight="1" outlineLevel="1">
      <c r="B167" s="10"/>
      <c r="C167" s="7"/>
      <c r="D167" s="11"/>
      <c r="E167" s="11"/>
      <c r="F167" s="11"/>
      <c r="G167" s="11"/>
      <c r="H167" s="11"/>
      <c r="I167" s="39"/>
      <c r="J167" s="39"/>
      <c r="K167" s="39"/>
      <c r="L167" s="39"/>
      <c r="M167" s="39"/>
    </row>
    <row r="168" spans="1:15" s="5" customFormat="1" ht="15" customHeight="1" outlineLevel="1">
      <c r="B168" s="155" t="s">
        <v>180</v>
      </c>
      <c r="D168" s="58" t="s">
        <v>64</v>
      </c>
      <c r="E168" s="11"/>
      <c r="F168" s="11"/>
      <c r="G168" s="11"/>
      <c r="H168" s="11"/>
      <c r="I168" s="56" t="s">
        <v>67</v>
      </c>
      <c r="J168" s="57"/>
      <c r="K168" s="57"/>
      <c r="L168" s="57"/>
      <c r="M168" s="214"/>
    </row>
    <row r="169" spans="1:15" s="5" customFormat="1" ht="15" customHeight="1" outlineLevel="1">
      <c r="B169" s="50" t="s">
        <v>68</v>
      </c>
      <c r="C169" s="215"/>
      <c r="D169" s="206">
        <f>Inputs!$L$109</f>
        <v>16</v>
      </c>
      <c r="E169" s="11"/>
      <c r="F169" s="60"/>
      <c r="G169" s="11"/>
      <c r="H169" s="11"/>
      <c r="I169" s="341">
        <v>1</v>
      </c>
      <c r="J169" s="341">
        <f>I169+1</f>
        <v>2</v>
      </c>
      <c r="K169" s="341">
        <f>J169+1</f>
        <v>3</v>
      </c>
      <c r="L169" s="341">
        <f>K169+1</f>
        <v>4</v>
      </c>
      <c r="M169" s="341">
        <f>L169+1</f>
        <v>5</v>
      </c>
    </row>
    <row r="170" spans="1:15" s="5" customFormat="1" ht="15" customHeight="1" outlineLevel="1">
      <c r="B170" s="65" t="str">
        <f>CONCATENATE("PP&amp;E at End of ",F162)</f>
        <v>PP&amp;E at End of 1</v>
      </c>
      <c r="C170" s="216"/>
      <c r="D170" s="183">
        <f>Inputs!$L$95</f>
        <v>65014</v>
      </c>
      <c r="E170" s="11"/>
      <c r="F170" s="60"/>
      <c r="G170" s="11"/>
      <c r="H170" s="127"/>
      <c r="I170" s="161">
        <f>MIN($D169-SUM($H170:H170),1)</f>
        <v>1</v>
      </c>
      <c r="J170" s="161">
        <f>MIN($D169-SUM($H170:I170),1)</f>
        <v>1</v>
      </c>
      <c r="K170" s="161">
        <f>MIN($D169-SUM($H170:J170),1)</f>
        <v>1</v>
      </c>
      <c r="L170" s="161">
        <f>MIN($D169-SUM($H170:K170),1)</f>
        <v>1</v>
      </c>
      <c r="M170" s="162">
        <f>MIN($D169-SUM($H170:L170),1)</f>
        <v>1</v>
      </c>
      <c r="O170" s="303"/>
    </row>
    <row r="171" spans="1:15" s="5" customFormat="1" ht="15" customHeight="1" outlineLevel="1">
      <c r="B171" s="49"/>
      <c r="C171" s="61"/>
      <c r="D171" s="98"/>
      <c r="E171" s="11"/>
      <c r="F171" s="11"/>
      <c r="G171" s="11"/>
      <c r="H171" s="11"/>
      <c r="I171" s="62"/>
      <c r="J171" s="62"/>
      <c r="K171" s="62"/>
      <c r="L171" s="62"/>
      <c r="M171" s="62"/>
    </row>
    <row r="172" spans="1:15" s="5" customFormat="1" ht="15" customHeight="1" outlineLevel="1">
      <c r="B172" s="32"/>
      <c r="C172" s="33"/>
      <c r="D172" s="34"/>
      <c r="E172" s="34"/>
      <c r="F172" s="34"/>
      <c r="G172" s="34"/>
      <c r="H172" s="34"/>
      <c r="I172" s="48"/>
      <c r="J172" s="48"/>
      <c r="K172" s="48"/>
      <c r="L172" s="48"/>
      <c r="M172" s="48"/>
    </row>
    <row r="173" spans="1:15" s="5" customFormat="1" ht="15" customHeight="1" outlineLevel="1">
      <c r="B173" s="10"/>
      <c r="C173" s="7"/>
      <c r="D173" s="11"/>
      <c r="E173" s="11"/>
      <c r="F173" s="11"/>
      <c r="G173" s="11"/>
      <c r="H173" s="11"/>
      <c r="I173" s="39"/>
      <c r="J173" s="39"/>
      <c r="K173" s="39"/>
      <c r="L173" s="39"/>
      <c r="M173" s="39"/>
    </row>
    <row r="174" spans="1:15" s="5" customFormat="1" ht="15" customHeight="1" outlineLevel="1">
      <c r="B174" s="155" t="s">
        <v>181</v>
      </c>
      <c r="D174" s="58" t="s">
        <v>64</v>
      </c>
      <c r="E174" s="11"/>
      <c r="F174" s="11"/>
      <c r="G174" s="11"/>
      <c r="H174" s="11"/>
      <c r="I174" s="56" t="s">
        <v>67</v>
      </c>
      <c r="J174" s="57"/>
      <c r="K174" s="57"/>
      <c r="L174" s="57"/>
      <c r="M174" s="214"/>
    </row>
    <row r="175" spans="1:15" s="5" customFormat="1" ht="15" customHeight="1" outlineLevel="1">
      <c r="B175" s="50" t="s">
        <v>69</v>
      </c>
      <c r="C175" s="215"/>
      <c r="D175" s="208">
        <f>Inputs!$L$110</f>
        <v>20</v>
      </c>
      <c r="E175" s="11"/>
      <c r="F175" s="11"/>
      <c r="G175" s="11"/>
      <c r="H175" s="11"/>
      <c r="I175" s="342">
        <v>1</v>
      </c>
      <c r="J175" s="342">
        <f>I175+1</f>
        <v>2</v>
      </c>
      <c r="K175" s="342">
        <f>J175+1</f>
        <v>3</v>
      </c>
      <c r="L175" s="342">
        <f>K175+1</f>
        <v>4</v>
      </c>
      <c r="M175" s="342">
        <f>L175+1</f>
        <v>5</v>
      </c>
    </row>
    <row r="176" spans="1:15" s="5" customFormat="1" ht="15" customHeight="1" outlineLevel="1">
      <c r="B176" s="65" t="s">
        <v>65</v>
      </c>
      <c r="C176" s="216"/>
      <c r="D176" s="209">
        <f>Inputs!$L$108</f>
        <v>0.5</v>
      </c>
      <c r="E176" s="11"/>
      <c r="F176" s="11"/>
      <c r="G176" s="11"/>
      <c r="H176" s="11"/>
      <c r="I176" s="163">
        <f>IF(H176="",$D$176,MIN($D175-SUM($H176:H176),1))</f>
        <v>0.5</v>
      </c>
      <c r="J176" s="164">
        <f>IF(I176="",$D$176,MIN($D175-SUM($H176:I176),1))</f>
        <v>1</v>
      </c>
      <c r="K176" s="164">
        <f>IF(J176="",$D$176,MIN($D175-SUM($H176:J176),1))</f>
        <v>1</v>
      </c>
      <c r="L176" s="164">
        <f>IF(K176="",$D$176,MIN($D175-SUM($H176:K176),1))</f>
        <v>1</v>
      </c>
      <c r="M176" s="165">
        <f>IF(L176="",$D$176,MIN($D175-SUM($H176:L176),1))</f>
        <v>1</v>
      </c>
    </row>
    <row r="177" spans="2:15" s="5" customFormat="1" ht="15" customHeight="1" outlineLevel="1">
      <c r="B177" s="49"/>
      <c r="D177" s="67"/>
      <c r="E177" s="11"/>
      <c r="F177" s="11"/>
      <c r="G177" s="11"/>
      <c r="H177" s="11"/>
      <c r="I177" s="62"/>
      <c r="J177" s="62"/>
      <c r="K177" s="62"/>
      <c r="L177" s="62"/>
      <c r="M177" s="62"/>
    </row>
    <row r="178" spans="2:15" s="5" customFormat="1" ht="15" customHeight="1" outlineLevel="1">
      <c r="B178" s="10"/>
      <c r="C178" s="7"/>
      <c r="D178" s="11"/>
      <c r="E178" s="11"/>
      <c r="F178" s="11"/>
      <c r="G178" s="11"/>
      <c r="H178" s="11"/>
      <c r="I178" s="56" t="s">
        <v>67</v>
      </c>
      <c r="J178" s="57"/>
      <c r="K178" s="57"/>
      <c r="L178" s="57"/>
      <c r="M178" s="214"/>
      <c r="O178" s="63"/>
    </row>
    <row r="179" spans="2:15" s="5" customFormat="1" ht="15" customHeight="1" outlineLevel="1">
      <c r="D179" s="55"/>
      <c r="F179" s="55" t="s">
        <v>58</v>
      </c>
      <c r="G179" s="55" t="s">
        <v>60</v>
      </c>
      <c r="H179" s="11"/>
      <c r="I179" s="166">
        <f>G$162</f>
        <v>2</v>
      </c>
      <c r="J179" s="166">
        <f>H$162</f>
        <v>3</v>
      </c>
      <c r="K179" s="166">
        <f>I$162</f>
        <v>4</v>
      </c>
      <c r="L179" s="166">
        <f>J$162</f>
        <v>5</v>
      </c>
      <c r="M179" s="166">
        <f>K$162</f>
        <v>6</v>
      </c>
    </row>
    <row r="180" spans="2:15" s="5" customFormat="1" ht="15" customHeight="1" outlineLevel="1">
      <c r="B180" s="10"/>
      <c r="D180" s="55"/>
      <c r="F180" s="71">
        <f>G162</f>
        <v>2</v>
      </c>
      <c r="G180" s="72">
        <f>$D$175</f>
        <v>20</v>
      </c>
      <c r="H180" s="73"/>
      <c r="I180" s="322">
        <f>I176</f>
        <v>0.5</v>
      </c>
      <c r="J180" s="322">
        <f>J176</f>
        <v>1</v>
      </c>
      <c r="K180" s="322">
        <f>K176</f>
        <v>1</v>
      </c>
      <c r="L180" s="322">
        <f>L176</f>
        <v>1</v>
      </c>
      <c r="M180" s="323">
        <f>M176</f>
        <v>1</v>
      </c>
    </row>
    <row r="181" spans="2:15" s="5" customFormat="1" ht="15" customHeight="1" outlineLevel="1">
      <c r="B181" s="10"/>
      <c r="D181" s="55"/>
      <c r="F181" s="74">
        <f>F180+1</f>
        <v>3</v>
      </c>
      <c r="G181" s="68">
        <f t="shared" ref="G181:G184" si="64">$D$175</f>
        <v>20</v>
      </c>
      <c r="H181" s="75"/>
      <c r="I181" s="69">
        <f>H180</f>
        <v>0</v>
      </c>
      <c r="J181" s="69">
        <f>I180</f>
        <v>0.5</v>
      </c>
      <c r="K181" s="69">
        <f>J180</f>
        <v>1</v>
      </c>
      <c r="L181" s="69">
        <f t="shared" ref="I181:M184" si="65">K180</f>
        <v>1</v>
      </c>
      <c r="M181" s="324">
        <f t="shared" si="65"/>
        <v>1</v>
      </c>
    </row>
    <row r="182" spans="2:15" s="5" customFormat="1" ht="15" customHeight="1" outlineLevel="1">
      <c r="B182" s="10"/>
      <c r="D182" s="55"/>
      <c r="F182" s="74">
        <f>F181+1</f>
        <v>4</v>
      </c>
      <c r="G182" s="68">
        <f t="shared" si="64"/>
        <v>20</v>
      </c>
      <c r="H182" s="75"/>
      <c r="I182" s="69">
        <f t="shared" si="65"/>
        <v>0</v>
      </c>
      <c r="J182" s="69">
        <f t="shared" si="65"/>
        <v>0</v>
      </c>
      <c r="K182" s="69">
        <f>J181</f>
        <v>0.5</v>
      </c>
      <c r="L182" s="69">
        <f t="shared" si="65"/>
        <v>1</v>
      </c>
      <c r="M182" s="324">
        <f t="shared" si="65"/>
        <v>1</v>
      </c>
    </row>
    <row r="183" spans="2:15" s="5" customFormat="1" ht="15" customHeight="1" outlineLevel="1">
      <c r="B183" s="10"/>
      <c r="D183" s="55"/>
      <c r="F183" s="74">
        <f>F182+1</f>
        <v>5</v>
      </c>
      <c r="G183" s="68">
        <f t="shared" si="64"/>
        <v>20</v>
      </c>
      <c r="H183" s="75"/>
      <c r="I183" s="69">
        <f t="shared" si="65"/>
        <v>0</v>
      </c>
      <c r="J183" s="69">
        <f t="shared" si="65"/>
        <v>0</v>
      </c>
      <c r="K183" s="69">
        <f t="shared" si="65"/>
        <v>0</v>
      </c>
      <c r="L183" s="69">
        <f t="shared" si="65"/>
        <v>0.5</v>
      </c>
      <c r="M183" s="324">
        <f t="shared" si="65"/>
        <v>1</v>
      </c>
    </row>
    <row r="184" spans="2:15" s="5" customFormat="1" ht="15" customHeight="1" outlineLevel="1">
      <c r="B184" s="10"/>
      <c r="D184" s="55"/>
      <c r="F184" s="76">
        <f>F183+1</f>
        <v>6</v>
      </c>
      <c r="G184" s="77">
        <f t="shared" si="64"/>
        <v>20</v>
      </c>
      <c r="H184" s="78"/>
      <c r="I184" s="70">
        <f t="shared" si="65"/>
        <v>0</v>
      </c>
      <c r="J184" s="70">
        <f t="shared" si="65"/>
        <v>0</v>
      </c>
      <c r="K184" s="70">
        <f t="shared" si="65"/>
        <v>0</v>
      </c>
      <c r="L184" s="70">
        <f t="shared" si="65"/>
        <v>0</v>
      </c>
      <c r="M184" s="325">
        <f t="shared" si="65"/>
        <v>0.5</v>
      </c>
    </row>
    <row r="185" spans="2:15" s="5" customFormat="1" ht="15" customHeight="1" outlineLevel="1">
      <c r="B185" s="10"/>
      <c r="C185" s="7"/>
      <c r="D185" s="55"/>
      <c r="E185" s="11"/>
      <c r="F185" s="11"/>
      <c r="G185" s="11"/>
      <c r="H185" s="11"/>
      <c r="I185" s="39"/>
      <c r="J185" s="39"/>
      <c r="K185" s="39"/>
      <c r="L185" s="39"/>
      <c r="M185" s="39"/>
      <c r="O185" s="45"/>
    </row>
    <row r="186" spans="2:15" s="5" customFormat="1" ht="15" customHeight="1" outlineLevel="1">
      <c r="B186" s="10"/>
      <c r="C186" s="7"/>
      <c r="D186" s="11"/>
      <c r="E186" s="11"/>
      <c r="F186" s="11"/>
      <c r="G186" s="11"/>
      <c r="H186" s="11"/>
      <c r="I186" s="56" t="s">
        <v>61</v>
      </c>
      <c r="J186" s="57"/>
      <c r="K186" s="57"/>
      <c r="L186" s="57"/>
      <c r="M186" s="214"/>
      <c r="O186" s="45"/>
    </row>
    <row r="187" spans="2:15" s="5" customFormat="1" ht="15" customHeight="1" outlineLevel="1">
      <c r="E187" s="11"/>
      <c r="F187" s="55" t="s">
        <v>58</v>
      </c>
      <c r="G187" s="55" t="s">
        <v>59</v>
      </c>
      <c r="H187" s="55" t="s">
        <v>63</v>
      </c>
      <c r="I187" s="166">
        <f>G$162</f>
        <v>2</v>
      </c>
      <c r="J187" s="166">
        <f>H$162</f>
        <v>3</v>
      </c>
      <c r="K187" s="166">
        <f>I$162</f>
        <v>4</v>
      </c>
      <c r="L187" s="166">
        <f>J$162</f>
        <v>5</v>
      </c>
      <c r="M187" s="166">
        <f>K$162</f>
        <v>6</v>
      </c>
      <c r="O187" s="45"/>
    </row>
    <row r="188" spans="2:15" s="5" customFormat="1" ht="15" customHeight="1" outlineLevel="1">
      <c r="B188" s="10"/>
      <c r="E188" s="11"/>
      <c r="F188" s="71">
        <f>F180</f>
        <v>2</v>
      </c>
      <c r="G188" s="167">
        <f>SUMIF($G$162:$K$162,F188,$G$165:$K$165)</f>
        <v>4000</v>
      </c>
      <c r="H188" s="168">
        <f>G188/G180</f>
        <v>200</v>
      </c>
      <c r="I188" s="326">
        <f>$H188*I180</f>
        <v>100</v>
      </c>
      <c r="J188" s="326">
        <f t="shared" ref="I188:M192" si="66">$H188*J180</f>
        <v>200</v>
      </c>
      <c r="K188" s="326">
        <f t="shared" si="66"/>
        <v>200</v>
      </c>
      <c r="L188" s="326">
        <f t="shared" si="66"/>
        <v>200</v>
      </c>
      <c r="M188" s="327">
        <f t="shared" si="66"/>
        <v>200</v>
      </c>
    </row>
    <row r="189" spans="2:15" s="5" customFormat="1" ht="15" customHeight="1" outlineLevel="1">
      <c r="B189" s="10"/>
      <c r="E189" s="11"/>
      <c r="F189" s="74">
        <f>F181</f>
        <v>3</v>
      </c>
      <c r="G189" s="169">
        <f>SUMIF($G$162:$K$162,F189,$G$165:$K$165)</f>
        <v>4300</v>
      </c>
      <c r="H189" s="170">
        <f>G189/G181</f>
        <v>215</v>
      </c>
      <c r="I189" s="160">
        <f t="shared" si="66"/>
        <v>0</v>
      </c>
      <c r="J189" s="160">
        <f t="shared" si="66"/>
        <v>107.5</v>
      </c>
      <c r="K189" s="160">
        <f t="shared" si="66"/>
        <v>215</v>
      </c>
      <c r="L189" s="160">
        <f t="shared" si="66"/>
        <v>215</v>
      </c>
      <c r="M189" s="328">
        <f t="shared" si="66"/>
        <v>215</v>
      </c>
    </row>
    <row r="190" spans="2:15" s="5" customFormat="1" ht="15" customHeight="1" outlineLevel="1">
      <c r="B190" s="10"/>
      <c r="E190" s="11"/>
      <c r="F190" s="74">
        <f>F182</f>
        <v>4</v>
      </c>
      <c r="G190" s="169">
        <f>SUMIF($G$162:$K$162,F190,$G$165:$K$165)</f>
        <v>4400</v>
      </c>
      <c r="H190" s="170">
        <f>G190/G182</f>
        <v>220</v>
      </c>
      <c r="I190" s="160">
        <f t="shared" si="66"/>
        <v>0</v>
      </c>
      <c r="J190" s="160">
        <f t="shared" si="66"/>
        <v>0</v>
      </c>
      <c r="K190" s="160">
        <f t="shared" si="66"/>
        <v>110</v>
      </c>
      <c r="L190" s="160">
        <f t="shared" si="66"/>
        <v>220</v>
      </c>
      <c r="M190" s="328">
        <f t="shared" si="66"/>
        <v>220</v>
      </c>
    </row>
    <row r="191" spans="2:15" s="5" customFormat="1" ht="15" customHeight="1" outlineLevel="1">
      <c r="B191" s="10"/>
      <c r="E191" s="11"/>
      <c r="F191" s="74">
        <f>F183</f>
        <v>5</v>
      </c>
      <c r="G191" s="169" t="e">
        <f>SUMIF($G$162:$K$162,F191,$G$165:$K$165)</f>
        <v>#REF!</v>
      </c>
      <c r="H191" s="170" t="e">
        <f>G191/G183</f>
        <v>#REF!</v>
      </c>
      <c r="I191" s="160" t="e">
        <f t="shared" si="66"/>
        <v>#REF!</v>
      </c>
      <c r="J191" s="160" t="e">
        <f t="shared" si="66"/>
        <v>#REF!</v>
      </c>
      <c r="K191" s="160" t="e">
        <f t="shared" si="66"/>
        <v>#REF!</v>
      </c>
      <c r="L191" s="160" t="e">
        <f t="shared" si="66"/>
        <v>#REF!</v>
      </c>
      <c r="M191" s="328" t="e">
        <f t="shared" si="66"/>
        <v>#REF!</v>
      </c>
    </row>
    <row r="192" spans="2:15" s="5" customFormat="1" ht="15" customHeight="1" outlineLevel="1">
      <c r="B192" s="10"/>
      <c r="E192" s="11"/>
      <c r="F192" s="76">
        <f>F184</f>
        <v>6</v>
      </c>
      <c r="G192" s="171" t="e">
        <f>SUMIF($G$162:$K$162,F192,$G$165:$K$165)</f>
        <v>#REF!</v>
      </c>
      <c r="H192" s="172" t="e">
        <f>G192/G184</f>
        <v>#REF!</v>
      </c>
      <c r="I192" s="181" t="e">
        <f t="shared" si="66"/>
        <v>#REF!</v>
      </c>
      <c r="J192" s="181" t="e">
        <f t="shared" si="66"/>
        <v>#REF!</v>
      </c>
      <c r="K192" s="181" t="e">
        <f t="shared" si="66"/>
        <v>#REF!</v>
      </c>
      <c r="L192" s="181" t="e">
        <f t="shared" si="66"/>
        <v>#REF!</v>
      </c>
      <c r="M192" s="329" t="e">
        <f>$H192*M184</f>
        <v>#REF!</v>
      </c>
    </row>
    <row r="193" spans="1:15" s="5" customFormat="1" ht="15" customHeight="1" outlineLevel="1">
      <c r="B193" s="32"/>
      <c r="C193" s="33"/>
      <c r="D193" s="34"/>
      <c r="E193" s="34"/>
      <c r="F193" s="34"/>
      <c r="G193" s="34"/>
      <c r="H193" s="34"/>
      <c r="I193" s="48"/>
      <c r="J193" s="48"/>
      <c r="K193" s="48"/>
      <c r="L193" s="48"/>
      <c r="M193" s="48"/>
      <c r="O193" s="45"/>
    </row>
    <row r="194" spans="1:15" s="5" customFormat="1" ht="15" customHeight="1" outlineLevel="1">
      <c r="B194" s="10"/>
      <c r="C194" s="7"/>
      <c r="D194" s="11"/>
      <c r="E194" s="11"/>
      <c r="F194" s="11"/>
      <c r="G194" s="11"/>
      <c r="H194" s="11"/>
      <c r="I194" s="39"/>
      <c r="J194" s="39"/>
      <c r="K194" s="39"/>
      <c r="L194" s="39"/>
      <c r="M194" s="39"/>
      <c r="O194" s="45"/>
    </row>
    <row r="195" spans="1:15" s="5" customFormat="1" ht="15" customHeight="1" outlineLevel="1">
      <c r="B195" s="155" t="s">
        <v>225</v>
      </c>
      <c r="C195" s="7"/>
      <c r="D195" s="11"/>
      <c r="E195" s="11"/>
      <c r="F195" s="11"/>
      <c r="G195" s="11"/>
      <c r="H195" s="11"/>
      <c r="I195" s="39"/>
      <c r="J195" s="39"/>
      <c r="K195" s="39"/>
      <c r="L195" s="39"/>
      <c r="M195" s="39"/>
      <c r="O195" s="45"/>
    </row>
    <row r="196" spans="1:15" s="5" customFormat="1" ht="15" customHeight="1" outlineLevel="1">
      <c r="B196" s="269" t="s">
        <v>56</v>
      </c>
      <c r="C196" s="7"/>
      <c r="D196" s="11"/>
      <c r="E196" s="11"/>
      <c r="F196" s="20"/>
      <c r="G196" s="20"/>
      <c r="H196" s="20"/>
      <c r="I196" s="30">
        <f>($D$170/$D$169)*I170</f>
        <v>4063.375</v>
      </c>
      <c r="J196" s="30">
        <f>($D$170/$D$169)*J170</f>
        <v>4063.375</v>
      </c>
      <c r="K196" s="30">
        <f>($D$170/$D$169)*K170</f>
        <v>4063.375</v>
      </c>
      <c r="L196" s="30">
        <f>($D$170/$D$169)*L170</f>
        <v>4063.375</v>
      </c>
      <c r="M196" s="30">
        <f>($D$170/$D$169)*M170</f>
        <v>4063.375</v>
      </c>
      <c r="O196" s="42"/>
    </row>
    <row r="197" spans="1:15" s="5" customFormat="1" ht="15" customHeight="1" outlineLevel="1">
      <c r="B197" s="269" t="s">
        <v>57</v>
      </c>
      <c r="C197" s="7"/>
      <c r="D197" s="11"/>
      <c r="E197" s="11"/>
      <c r="F197" s="11"/>
      <c r="G197" s="11"/>
      <c r="H197" s="11"/>
      <c r="I197" s="30" t="e">
        <f>SUM(I188:I192)</f>
        <v>#REF!</v>
      </c>
      <c r="J197" s="30" t="e">
        <f>SUM(J188:J192)</f>
        <v>#REF!</v>
      </c>
      <c r="K197" s="30" t="e">
        <f>SUM(K188:K192)</f>
        <v>#REF!</v>
      </c>
      <c r="L197" s="30" t="e">
        <f>SUM(L188:L192)</f>
        <v>#REF!</v>
      </c>
      <c r="M197" s="30" t="e">
        <f>SUM(M188:M192)</f>
        <v>#REF!</v>
      </c>
      <c r="O197" s="42"/>
    </row>
    <row r="198" spans="1:15" s="5" customFormat="1" ht="15" customHeight="1" outlineLevel="1" thickBot="1">
      <c r="B198" s="269" t="s">
        <v>62</v>
      </c>
      <c r="C198" s="7"/>
      <c r="D198" s="11"/>
      <c r="E198" s="11"/>
      <c r="F198" s="11"/>
      <c r="G198" s="11"/>
      <c r="H198" s="11"/>
      <c r="I198" s="344" t="e">
        <f>SUM(I196:I197)</f>
        <v>#REF!</v>
      </c>
      <c r="J198" s="344" t="e">
        <f>SUM(J196:J197)</f>
        <v>#REF!</v>
      </c>
      <c r="K198" s="344" t="e">
        <f>SUM(K196:K197)</f>
        <v>#REF!</v>
      </c>
      <c r="L198" s="344" t="e">
        <f>SUM(L196:L197)</f>
        <v>#REF!</v>
      </c>
      <c r="M198" s="344" t="e">
        <f>SUM(M196:M197)</f>
        <v>#REF!</v>
      </c>
      <c r="O198" s="45"/>
    </row>
    <row r="199" spans="1:15" s="5" customFormat="1" ht="15" customHeight="1" outlineLevel="1">
      <c r="B199" s="10"/>
      <c r="C199" s="7"/>
      <c r="D199" s="11"/>
      <c r="E199" s="11"/>
      <c r="F199" s="11"/>
      <c r="G199" s="11"/>
      <c r="H199" s="11"/>
      <c r="I199" s="20"/>
      <c r="J199" s="20"/>
      <c r="K199" s="20"/>
      <c r="L199" s="20"/>
      <c r="M199" s="20"/>
      <c r="O199" s="45"/>
    </row>
    <row r="200" spans="1:15" s="5" customFormat="1" ht="15" customHeight="1" outlineLevel="1">
      <c r="B200" s="10"/>
      <c r="C200" s="7"/>
      <c r="D200" s="11"/>
      <c r="E200" s="11"/>
      <c r="F200" s="11"/>
      <c r="G200" s="11"/>
      <c r="H200" s="11"/>
      <c r="I200" s="20"/>
      <c r="J200" s="20"/>
      <c r="K200" s="20"/>
      <c r="L200" s="20"/>
      <c r="M200" s="20"/>
      <c r="O200" s="45"/>
    </row>
    <row r="201" spans="1:15" s="5" customFormat="1" ht="15" customHeight="1" outlineLevel="1">
      <c r="C201" s="7"/>
      <c r="D201" s="11"/>
      <c r="E201" s="11"/>
      <c r="F201" s="11"/>
      <c r="G201" s="11"/>
      <c r="H201" s="11"/>
      <c r="I201" s="39"/>
      <c r="J201" s="39"/>
      <c r="K201" s="39"/>
      <c r="L201" s="39"/>
      <c r="M201" s="251" t="s">
        <v>174</v>
      </c>
      <c r="O201" s="42"/>
    </row>
    <row r="202" spans="1:15" s="5" customFormat="1" ht="15" customHeight="1" outlineLevel="1">
      <c r="C202" s="7"/>
      <c r="D202" s="11"/>
      <c r="E202" s="11"/>
      <c r="F202" s="11"/>
      <c r="G202" s="11"/>
      <c r="H202" s="11"/>
      <c r="I202" s="39"/>
      <c r="J202" s="39"/>
      <c r="K202" s="39"/>
      <c r="L202" s="39"/>
      <c r="M202" s="252" t="s">
        <v>204</v>
      </c>
      <c r="O202" s="42"/>
    </row>
    <row r="203" spans="1:15" s="5" customFormat="1" ht="15" customHeight="1" outlineLevel="1">
      <c r="C203" s="7"/>
      <c r="D203" s="11"/>
      <c r="E203" s="11"/>
      <c r="F203" s="11"/>
      <c r="G203" s="11"/>
      <c r="H203" s="11"/>
      <c r="I203" s="39"/>
      <c r="J203" s="39"/>
      <c r="K203" s="39"/>
      <c r="L203" s="39"/>
      <c r="M203" s="135"/>
      <c r="O203" s="42"/>
    </row>
    <row r="204" spans="1:15" s="5" customFormat="1" ht="15" customHeight="1" outlineLevel="1">
      <c r="B204" s="32"/>
      <c r="C204" s="33"/>
      <c r="D204" s="34"/>
      <c r="E204" s="34"/>
      <c r="F204" s="34"/>
      <c r="G204" s="34"/>
      <c r="H204" s="34"/>
      <c r="I204" s="48"/>
      <c r="J204" s="48"/>
      <c r="K204" s="48"/>
      <c r="L204" s="48"/>
      <c r="M204" s="48"/>
      <c r="N204" s="48"/>
      <c r="O204" s="45"/>
    </row>
    <row r="205" spans="1:15" s="5" customFormat="1" ht="15" customHeight="1">
      <c r="B205" s="10"/>
      <c r="C205" s="7"/>
      <c r="D205" s="11"/>
      <c r="E205" s="11"/>
      <c r="F205" s="11"/>
      <c r="G205" s="11"/>
      <c r="H205" s="11"/>
      <c r="I205" s="39"/>
      <c r="J205" s="39"/>
      <c r="K205" s="39"/>
      <c r="L205" s="39"/>
      <c r="M205" s="39"/>
      <c r="N205" s="39"/>
      <c r="O205" s="45"/>
    </row>
    <row r="206" spans="1:15" s="5" customFormat="1" ht="15" customHeight="1">
      <c r="A206" s="5" t="s">
        <v>143</v>
      </c>
      <c r="B206" s="417" t="s">
        <v>48</v>
      </c>
      <c r="C206" s="413"/>
      <c r="D206" s="414"/>
      <c r="E206" s="414"/>
      <c r="F206" s="415"/>
      <c r="G206" s="415"/>
      <c r="H206" s="415"/>
      <c r="I206" s="415"/>
      <c r="J206" s="415"/>
      <c r="K206" s="415"/>
      <c r="L206" s="418"/>
      <c r="M206" s="415"/>
      <c r="N206" s="416"/>
      <c r="O206" s="45"/>
    </row>
    <row r="207" spans="1:15" s="5" customFormat="1" ht="15" customHeight="1" outlineLevel="1">
      <c r="B207" s="6"/>
      <c r="C207" s="7"/>
      <c r="D207" s="8"/>
      <c r="E207" s="8"/>
      <c r="F207" s="9"/>
      <c r="G207" s="9"/>
      <c r="H207" s="9"/>
      <c r="I207" s="9"/>
      <c r="J207" s="9"/>
      <c r="K207" s="9"/>
      <c r="L207" s="9"/>
      <c r="M207" s="9"/>
      <c r="O207" s="45"/>
    </row>
    <row r="208" spans="1:15" s="5" customFormat="1" ht="15" customHeight="1" outlineLevel="1" thickBot="1">
      <c r="B208" s="10" t="s">
        <v>19</v>
      </c>
      <c r="C208" s="7"/>
      <c r="D208" s="11"/>
      <c r="E208" s="11"/>
      <c r="F208" s="9"/>
      <c r="G208" s="11"/>
      <c r="H208" s="106">
        <f t="shared" ref="H208:M208" si="67">G$5</f>
        <v>1</v>
      </c>
      <c r="I208" s="102">
        <f t="shared" si="67"/>
        <v>2</v>
      </c>
      <c r="J208" s="102">
        <f t="shared" si="67"/>
        <v>3</v>
      </c>
      <c r="K208" s="102">
        <f t="shared" si="67"/>
        <v>4</v>
      </c>
      <c r="L208" s="458">
        <f t="shared" si="67"/>
        <v>5</v>
      </c>
      <c r="M208" s="458">
        <f t="shared" si="67"/>
        <v>6</v>
      </c>
      <c r="N208" s="39"/>
      <c r="O208" s="42"/>
    </row>
    <row r="209" spans="1:15" ht="15" customHeight="1" outlineLevel="1">
      <c r="A209" s="12"/>
      <c r="B209" s="10" t="str">
        <f>$B$6</f>
        <v>Best Case</v>
      </c>
      <c r="C209" s="7"/>
      <c r="D209" s="11"/>
      <c r="E209" s="11"/>
      <c r="F209" s="11"/>
      <c r="G209" s="11"/>
      <c r="H209" s="11"/>
      <c r="I209" s="39"/>
      <c r="J209" s="39"/>
      <c r="K209" s="39"/>
      <c r="L209" s="458"/>
      <c r="M209" s="458"/>
      <c r="N209" s="39"/>
    </row>
    <row r="210" spans="1:15" s="5" customFormat="1" ht="15" customHeight="1" outlineLevel="1">
      <c r="B210" s="10"/>
      <c r="C210" s="7"/>
      <c r="D210" s="11"/>
      <c r="E210" s="11"/>
      <c r="F210" s="11"/>
      <c r="G210" s="11"/>
      <c r="H210" s="11"/>
      <c r="I210" s="39"/>
      <c r="J210" s="39"/>
      <c r="K210" s="39"/>
      <c r="L210" s="458"/>
      <c r="M210" s="458"/>
      <c r="O210" s="45"/>
    </row>
    <row r="211" spans="1:15" s="5" customFormat="1" ht="15" customHeight="1" outlineLevel="1">
      <c r="B211" s="49" t="s">
        <v>49</v>
      </c>
      <c r="C211" s="7"/>
      <c r="D211" s="11"/>
      <c r="E211" s="11"/>
      <c r="F211" s="11"/>
      <c r="G211" s="30"/>
      <c r="H211" s="30"/>
      <c r="I211" s="260">
        <f>G165</f>
        <v>4000</v>
      </c>
      <c r="J211" s="402">
        <f>H165</f>
        <v>4300</v>
      </c>
      <c r="K211" s="402">
        <f>I165</f>
        <v>4400</v>
      </c>
      <c r="L211" s="459" t="e">
        <f>J165</f>
        <v>#REF!</v>
      </c>
      <c r="M211" s="459" t="e">
        <f>K165</f>
        <v>#REF!</v>
      </c>
      <c r="N211" s="30"/>
    </row>
    <row r="212" spans="1:15" s="5" customFormat="1" ht="15" customHeight="1" outlineLevel="1">
      <c r="B212" s="10"/>
      <c r="C212" s="7"/>
      <c r="D212" s="11"/>
      <c r="E212" s="11"/>
      <c r="F212" s="11"/>
      <c r="G212" s="11"/>
      <c r="H212" s="11"/>
      <c r="I212" s="39"/>
      <c r="J212" s="39"/>
      <c r="K212" s="39"/>
      <c r="L212" s="458"/>
      <c r="M212" s="458"/>
    </row>
    <row r="213" spans="1:15" s="5" customFormat="1" ht="15" customHeight="1" outlineLevel="1">
      <c r="B213" s="145" t="s">
        <v>66</v>
      </c>
      <c r="C213" s="248"/>
      <c r="D213" s="249">
        <f>Inputs!$L$106</f>
        <v>0.5</v>
      </c>
      <c r="E213" s="11"/>
      <c r="F213" s="11"/>
      <c r="G213" s="11"/>
      <c r="H213" s="11"/>
      <c r="I213" s="39"/>
      <c r="J213" s="39"/>
      <c r="K213" s="39"/>
      <c r="L213" s="458"/>
      <c r="M213" s="458"/>
    </row>
    <row r="214" spans="1:15" s="5" customFormat="1" ht="15" customHeight="1" outlineLevel="1">
      <c r="B214" s="51" t="s">
        <v>52</v>
      </c>
      <c r="C214" s="216"/>
      <c r="D214" s="180">
        <v>0.2</v>
      </c>
      <c r="E214" s="11"/>
      <c r="F214" s="11"/>
      <c r="G214" s="11"/>
      <c r="H214" s="11"/>
      <c r="J214" s="39"/>
      <c r="K214" s="39"/>
      <c r="L214" s="458"/>
      <c r="M214" s="458"/>
    </row>
    <row r="215" spans="1:15" s="5" customFormat="1" ht="15" customHeight="1" outlineLevel="1">
      <c r="B215" s="13"/>
      <c r="C215" s="212"/>
      <c r="D215" s="66"/>
      <c r="E215" s="11"/>
      <c r="F215" s="11"/>
      <c r="G215" s="11"/>
      <c r="H215" s="11"/>
      <c r="I215" s="406"/>
      <c r="J215" s="406"/>
      <c r="K215" s="406"/>
      <c r="L215" s="476"/>
      <c r="M215" s="476"/>
    </row>
    <row r="216" spans="1:15" s="5" customFormat="1" ht="15" customHeight="1" outlineLevel="1">
      <c r="B216" s="13"/>
      <c r="C216" s="212"/>
      <c r="D216" s="66"/>
      <c r="E216" s="11"/>
      <c r="F216" s="11"/>
      <c r="G216" s="11"/>
      <c r="H216" s="11"/>
      <c r="I216" s="406"/>
      <c r="J216" s="406"/>
      <c r="K216" s="406"/>
      <c r="L216" s="476"/>
      <c r="M216" s="476"/>
    </row>
    <row r="217" spans="1:15" s="5" customFormat="1" ht="15" customHeight="1" outlineLevel="1">
      <c r="B217" s="155" t="s">
        <v>182</v>
      </c>
      <c r="C217" s="7"/>
      <c r="D217" s="11"/>
      <c r="E217" s="11"/>
      <c r="F217" s="11"/>
      <c r="G217" s="11"/>
      <c r="H217" s="11"/>
      <c r="I217" s="39"/>
      <c r="J217" s="39"/>
      <c r="K217" s="39"/>
      <c r="L217" s="458"/>
      <c r="M217" s="458"/>
    </row>
    <row r="218" spans="1:15" s="5" customFormat="1" ht="15" customHeight="1" outlineLevel="1">
      <c r="B218" s="269" t="s">
        <v>8</v>
      </c>
      <c r="C218" s="7"/>
      <c r="D218" s="11"/>
      <c r="E218" s="11"/>
      <c r="F218" s="11"/>
      <c r="G218" s="20"/>
      <c r="H218" s="30"/>
      <c r="I218" s="30">
        <f>H221</f>
        <v>65014</v>
      </c>
      <c r="J218" s="30" t="e">
        <f>I221</f>
        <v>#REF!</v>
      </c>
      <c r="K218" s="30" t="e">
        <f>J221</f>
        <v>#REF!</v>
      </c>
      <c r="L218" s="459" t="e">
        <f>K221</f>
        <v>#REF!</v>
      </c>
      <c r="M218" s="459" t="e">
        <f>L221</f>
        <v>#REF!</v>
      </c>
      <c r="N218" s="30"/>
    </row>
    <row r="219" spans="1:15" s="5" customFormat="1" ht="15" customHeight="1" outlineLevel="1">
      <c r="B219" s="269" t="s">
        <v>49</v>
      </c>
      <c r="C219" s="7"/>
      <c r="D219" s="11"/>
      <c r="E219" s="11"/>
      <c r="F219" s="11"/>
      <c r="G219" s="20"/>
      <c r="H219" s="179"/>
      <c r="I219" s="30">
        <f>I211</f>
        <v>4000</v>
      </c>
      <c r="J219" s="30">
        <f>J211</f>
        <v>4300</v>
      </c>
      <c r="K219" s="30">
        <f>K211</f>
        <v>4400</v>
      </c>
      <c r="L219" s="459" t="e">
        <f>L211</f>
        <v>#REF!</v>
      </c>
      <c r="M219" s="459" t="e">
        <f>M211</f>
        <v>#REF!</v>
      </c>
      <c r="N219" s="30"/>
    </row>
    <row r="220" spans="1:15" s="5" customFormat="1" ht="15" customHeight="1" outlineLevel="1">
      <c r="B220" s="269" t="s">
        <v>50</v>
      </c>
      <c r="C220" s="7"/>
      <c r="D220" s="11"/>
      <c r="E220" s="11"/>
      <c r="F220" s="11"/>
      <c r="G220" s="20"/>
      <c r="H220" s="31"/>
      <c r="I220" s="31" t="e">
        <f>-I198</f>
        <v>#REF!</v>
      </c>
      <c r="J220" s="31" t="e">
        <f>-J198</f>
        <v>#REF!</v>
      </c>
      <c r="K220" s="31" t="e">
        <f>-K198</f>
        <v>#REF!</v>
      </c>
      <c r="L220" s="459" t="e">
        <f>-L198</f>
        <v>#REF!</v>
      </c>
      <c r="M220" s="459" t="e">
        <f>-M198</f>
        <v>#REF!</v>
      </c>
      <c r="N220" s="30"/>
    </row>
    <row r="221" spans="1:15" s="5" customFormat="1" ht="15" customHeight="1" outlineLevel="1">
      <c r="B221" s="269" t="s">
        <v>9</v>
      </c>
      <c r="C221" s="7"/>
      <c r="D221" s="11"/>
      <c r="E221" s="11"/>
      <c r="F221" s="126"/>
      <c r="G221" s="20"/>
      <c r="H221" s="41">
        <f>$D$170</f>
        <v>65014</v>
      </c>
      <c r="I221" s="30" t="e">
        <f>SUM(I218:I220)</f>
        <v>#REF!</v>
      </c>
      <c r="J221" s="30" t="e">
        <f>SUM(J218:J220)</f>
        <v>#REF!</v>
      </c>
      <c r="K221" s="30" t="e">
        <f>SUM(K218:K220)</f>
        <v>#REF!</v>
      </c>
      <c r="L221" s="459" t="e">
        <f>SUM(L218:L220)</f>
        <v>#REF!</v>
      </c>
      <c r="M221" s="459" t="e">
        <f>SUM(M218:M220)</f>
        <v>#REF!</v>
      </c>
      <c r="N221" s="30"/>
    </row>
    <row r="222" spans="1:15" s="5" customFormat="1" ht="15" customHeight="1" outlineLevel="1">
      <c r="B222" s="10"/>
      <c r="C222" s="7"/>
      <c r="D222" s="11"/>
      <c r="E222" s="11"/>
      <c r="F222" s="11"/>
      <c r="G222" s="11"/>
      <c r="H222" s="122"/>
      <c r="I222" s="122"/>
      <c r="J222" s="122"/>
      <c r="K222" s="122"/>
      <c r="L222" s="470"/>
      <c r="M222" s="470"/>
      <c r="N222" s="122"/>
      <c r="O222" s="39"/>
    </row>
    <row r="223" spans="1:15" s="5" customFormat="1" ht="15" customHeight="1" outlineLevel="1">
      <c r="B223" s="10"/>
      <c r="C223" s="7"/>
      <c r="D223" s="11"/>
      <c r="E223" s="11"/>
      <c r="F223" s="11"/>
      <c r="G223" s="11"/>
      <c r="H223" s="122"/>
      <c r="I223" s="122"/>
      <c r="J223" s="122"/>
      <c r="K223" s="122"/>
      <c r="L223" s="470"/>
      <c r="M223" s="470"/>
      <c r="N223" s="122"/>
      <c r="O223" s="39"/>
    </row>
    <row r="224" spans="1:15" s="5" customFormat="1" ht="15" customHeight="1" outlineLevel="1">
      <c r="B224" s="155" t="s">
        <v>183</v>
      </c>
      <c r="C224" s="7"/>
      <c r="D224" s="11"/>
      <c r="E224" s="11"/>
      <c r="F224" s="11"/>
      <c r="G224" s="11"/>
      <c r="H224" s="122"/>
      <c r="I224" s="122"/>
      <c r="J224" s="122"/>
      <c r="K224" s="122"/>
      <c r="L224" s="470"/>
      <c r="M224" s="470"/>
      <c r="N224" s="122"/>
      <c r="O224" s="39"/>
    </row>
    <row r="225" spans="1:15" s="5" customFormat="1" ht="15" customHeight="1" outlineLevel="1">
      <c r="B225" s="269" t="s">
        <v>8</v>
      </c>
      <c r="C225" s="7"/>
      <c r="D225" s="11"/>
      <c r="E225" s="11"/>
      <c r="F225" s="11"/>
      <c r="G225" s="20"/>
      <c r="H225" s="30"/>
      <c r="I225" s="30">
        <f>H228</f>
        <v>0</v>
      </c>
      <c r="J225" s="30">
        <f>I228</f>
        <v>3600</v>
      </c>
      <c r="K225" s="30">
        <f>J228</f>
        <v>6750</v>
      </c>
      <c r="L225" s="459">
        <f>K228</f>
        <v>9360</v>
      </c>
      <c r="M225" s="459" t="e">
        <f>L228</f>
        <v>#REF!</v>
      </c>
      <c r="N225" s="30"/>
      <c r="O225" s="39"/>
    </row>
    <row r="226" spans="1:15" s="5" customFormat="1" ht="15" customHeight="1" outlineLevel="1">
      <c r="B226" s="269" t="s">
        <v>49</v>
      </c>
      <c r="C226" s="7"/>
      <c r="D226" s="11"/>
      <c r="E226" s="11"/>
      <c r="F226" s="11"/>
      <c r="G226" s="20"/>
      <c r="H226" s="30"/>
      <c r="I226" s="30">
        <f>I219</f>
        <v>4000</v>
      </c>
      <c r="J226" s="30">
        <f>J219</f>
        <v>4300</v>
      </c>
      <c r="K226" s="30">
        <f>K219</f>
        <v>4400</v>
      </c>
      <c r="L226" s="459" t="e">
        <f>L219</f>
        <v>#REF!</v>
      </c>
      <c r="M226" s="459" t="e">
        <f>M219</f>
        <v>#REF!</v>
      </c>
      <c r="N226" s="30"/>
      <c r="O226" s="39"/>
    </row>
    <row r="227" spans="1:15" s="5" customFormat="1" ht="15" customHeight="1" outlineLevel="1">
      <c r="B227" s="269" t="s">
        <v>51</v>
      </c>
      <c r="H227" s="217"/>
      <c r="I227" s="31">
        <f>-(I225+I226*$D$213)*$D$214</f>
        <v>-400</v>
      </c>
      <c r="J227" s="31">
        <f>-(J225+J226*$D$213)*$D$214</f>
        <v>-1150</v>
      </c>
      <c r="K227" s="31">
        <f t="shared" ref="K227:L227" si="68">-(K225+K226*$D$213)*$D$214</f>
        <v>-1790</v>
      </c>
      <c r="L227" s="459" t="e">
        <f t="shared" si="68"/>
        <v>#REF!</v>
      </c>
      <c r="M227" s="459" t="e">
        <f>-(M225+M226*$D$213)*$D$214</f>
        <v>#REF!</v>
      </c>
      <c r="N227" s="30"/>
    </row>
    <row r="228" spans="1:15" s="5" customFormat="1" ht="15" customHeight="1" outlineLevel="1">
      <c r="B228" s="269" t="s">
        <v>9</v>
      </c>
      <c r="C228" s="7"/>
      <c r="D228" s="11"/>
      <c r="E228" s="11"/>
      <c r="F228" s="46"/>
      <c r="G228" s="20"/>
      <c r="H228" s="41">
        <f>Inputs!$L$96</f>
        <v>0</v>
      </c>
      <c r="I228" s="30">
        <f>SUM(I225:I227)</f>
        <v>3600</v>
      </c>
      <c r="J228" s="30">
        <f>SUM(J225:J227)</f>
        <v>6750</v>
      </c>
      <c r="K228" s="30">
        <f>SUM(K225:K227)</f>
        <v>9360</v>
      </c>
      <c r="L228" s="459" t="e">
        <f>SUM(L225:L227)</f>
        <v>#REF!</v>
      </c>
      <c r="M228" s="459" t="e">
        <f>SUM(M225:M227)</f>
        <v>#REF!</v>
      </c>
      <c r="N228" s="30"/>
    </row>
    <row r="229" spans="1:15" s="5" customFormat="1" ht="15" customHeight="1" outlineLevel="1">
      <c r="B229" s="10"/>
      <c r="C229" s="7"/>
      <c r="D229" s="11"/>
      <c r="E229" s="11"/>
      <c r="F229" s="11"/>
      <c r="G229" s="11"/>
      <c r="H229" s="11"/>
      <c r="I229" s="39"/>
      <c r="J229" s="39"/>
      <c r="K229" s="39"/>
      <c r="L229" s="458"/>
      <c r="M229" s="458"/>
    </row>
    <row r="230" spans="1:15" s="5" customFormat="1" ht="15" customHeight="1" outlineLevel="1">
      <c r="B230" s="10"/>
      <c r="C230" s="7"/>
      <c r="D230" s="11"/>
      <c r="E230" s="11"/>
      <c r="F230" s="11"/>
      <c r="G230" s="11"/>
      <c r="H230" s="11"/>
      <c r="I230" s="39"/>
      <c r="J230" s="39"/>
      <c r="K230" s="39"/>
      <c r="L230" s="39"/>
      <c r="M230" s="39"/>
      <c r="O230" s="45"/>
    </row>
    <row r="231" spans="1:15" s="5" customFormat="1" ht="15" customHeight="1" outlineLevel="1">
      <c r="B231" s="10"/>
      <c r="C231" s="7"/>
      <c r="D231" s="11"/>
      <c r="E231" s="11"/>
      <c r="F231" s="11"/>
      <c r="G231" s="11"/>
      <c r="H231" s="11"/>
      <c r="I231" s="39"/>
      <c r="J231" s="39"/>
      <c r="K231" s="39"/>
      <c r="L231" s="39"/>
      <c r="M231" s="251" t="s">
        <v>178</v>
      </c>
      <c r="O231" s="42"/>
    </row>
    <row r="232" spans="1:15" s="5" customFormat="1" ht="15" customHeight="1" outlineLevel="1">
      <c r="B232" s="10"/>
      <c r="C232" s="7"/>
      <c r="D232" s="11"/>
      <c r="E232" s="11"/>
      <c r="F232" s="11"/>
      <c r="G232" s="11"/>
      <c r="H232" s="11"/>
      <c r="I232" s="39"/>
      <c r="J232" s="39"/>
      <c r="K232" s="39"/>
      <c r="L232" s="39"/>
      <c r="M232" s="135"/>
      <c r="O232" s="42"/>
    </row>
    <row r="233" spans="1:15" s="5" customFormat="1" ht="15" customHeight="1" outlineLevel="1">
      <c r="B233" s="32"/>
      <c r="C233" s="33"/>
      <c r="D233" s="34"/>
      <c r="E233" s="34"/>
      <c r="F233" s="34"/>
      <c r="G233" s="34"/>
      <c r="H233" s="34"/>
      <c r="I233" s="48"/>
      <c r="J233" s="48"/>
      <c r="K233" s="48"/>
      <c r="L233" s="48"/>
      <c r="M233" s="48"/>
      <c r="N233" s="48"/>
      <c r="O233" s="64"/>
    </row>
    <row r="234" spans="1:15" s="5" customFormat="1" ht="15" customHeight="1">
      <c r="B234" s="10"/>
      <c r="C234" s="7"/>
      <c r="D234" s="11"/>
      <c r="E234" s="11"/>
      <c r="F234" s="11"/>
      <c r="G234" s="11"/>
      <c r="H234" s="11"/>
      <c r="I234" s="39"/>
      <c r="J234" s="39"/>
      <c r="K234" s="39"/>
      <c r="L234" s="39"/>
      <c r="M234" s="39"/>
      <c r="N234" s="39"/>
      <c r="O234" s="64"/>
    </row>
    <row r="235" spans="1:15" s="5" customFormat="1" ht="15" customHeight="1">
      <c r="A235" s="5" t="s">
        <v>143</v>
      </c>
      <c r="B235" s="417" t="s">
        <v>71</v>
      </c>
      <c r="C235" s="413"/>
      <c r="D235" s="414"/>
      <c r="E235" s="414"/>
      <c r="F235" s="415"/>
      <c r="G235" s="415"/>
      <c r="H235" s="415"/>
      <c r="I235" s="415"/>
      <c r="J235" s="415"/>
      <c r="K235" s="415"/>
      <c r="L235" s="418"/>
      <c r="M235" s="415"/>
      <c r="N235" s="416"/>
      <c r="O235" s="64"/>
    </row>
    <row r="236" spans="1:15" s="5" customFormat="1" ht="15" customHeight="1" outlineLevel="1">
      <c r="B236" s="6"/>
      <c r="C236" s="7"/>
      <c r="D236" s="8"/>
      <c r="E236" s="8"/>
      <c r="F236" s="9"/>
      <c r="G236" s="9"/>
      <c r="H236" s="9"/>
      <c r="I236" s="9"/>
      <c r="J236" s="9"/>
      <c r="K236" s="9"/>
      <c r="L236" s="9"/>
      <c r="M236" s="9"/>
      <c r="O236" s="64"/>
    </row>
    <row r="237" spans="1:15" s="5" customFormat="1" ht="15" customHeight="1" outlineLevel="1" thickBot="1">
      <c r="B237" s="10" t="s">
        <v>19</v>
      </c>
      <c r="C237" s="7"/>
      <c r="D237" s="11"/>
      <c r="E237" s="11"/>
      <c r="F237" s="11"/>
      <c r="G237" s="11"/>
      <c r="H237" s="106">
        <f t="shared" ref="H237:M237" si="69">G$5</f>
        <v>1</v>
      </c>
      <c r="I237" s="102">
        <f t="shared" si="69"/>
        <v>2</v>
      </c>
      <c r="J237" s="102">
        <f t="shared" si="69"/>
        <v>3</v>
      </c>
      <c r="K237" s="102">
        <f t="shared" si="69"/>
        <v>4</v>
      </c>
      <c r="L237" s="458">
        <f t="shared" si="69"/>
        <v>5</v>
      </c>
      <c r="M237" s="458">
        <f t="shared" si="69"/>
        <v>6</v>
      </c>
      <c r="N237" s="39"/>
      <c r="O237" s="64"/>
    </row>
    <row r="238" spans="1:15" ht="15" customHeight="1" outlineLevel="1">
      <c r="A238" s="12"/>
      <c r="B238" s="10" t="str">
        <f>$B$6</f>
        <v>Best Case</v>
      </c>
      <c r="C238" s="7"/>
      <c r="D238" s="11"/>
      <c r="E238" s="11"/>
      <c r="F238" s="11"/>
      <c r="G238" s="11"/>
      <c r="H238" s="11"/>
      <c r="I238" s="39"/>
      <c r="J238" s="39"/>
      <c r="K238" s="39"/>
      <c r="L238" s="458"/>
      <c r="M238" s="458"/>
      <c r="N238" s="39"/>
    </row>
    <row r="239" spans="1:15" s="5" customFormat="1" ht="15" customHeight="1" outlineLevel="1">
      <c r="B239" s="10"/>
      <c r="C239" s="7"/>
      <c r="D239" s="11"/>
      <c r="E239" s="11"/>
      <c r="F239" s="11"/>
      <c r="G239" s="11"/>
      <c r="H239" s="11"/>
      <c r="I239" s="39"/>
      <c r="J239" s="39"/>
      <c r="K239" s="39"/>
      <c r="L239" s="458"/>
      <c r="M239" s="458"/>
      <c r="O239" s="45"/>
    </row>
    <row r="240" spans="1:15" s="5" customFormat="1" ht="15" customHeight="1" outlineLevel="1">
      <c r="B240" s="49" t="s">
        <v>55</v>
      </c>
      <c r="C240" s="7"/>
      <c r="D240" s="11"/>
      <c r="E240" s="11"/>
      <c r="G240" s="20"/>
      <c r="H240" s="30"/>
      <c r="I240" s="159" t="e">
        <f>H107</f>
        <v>#REF!</v>
      </c>
      <c r="J240" s="142" t="e">
        <f>I107</f>
        <v>#REF!</v>
      </c>
      <c r="K240" s="174" t="e">
        <f>J107</f>
        <v>#REF!</v>
      </c>
      <c r="L240" s="459" t="e">
        <f>K107</f>
        <v>#REF!</v>
      </c>
      <c r="M240" s="459" t="e">
        <f>L107</f>
        <v>#REF!</v>
      </c>
      <c r="N240" s="30"/>
      <c r="O240" s="42"/>
    </row>
    <row r="241" spans="1:15" s="5" customFormat="1" ht="15" customHeight="1" outlineLevel="1">
      <c r="B241" s="49" t="s">
        <v>47</v>
      </c>
      <c r="C241" s="7"/>
      <c r="D241" s="11"/>
      <c r="E241" s="11"/>
      <c r="F241" s="11"/>
      <c r="G241" s="11"/>
      <c r="H241" s="11"/>
      <c r="I241" s="319" t="e">
        <f>IF(I251&gt;0,1,0)</f>
        <v>#REF!</v>
      </c>
      <c r="J241" s="320" t="e">
        <f t="shared" ref="J241:M241" si="70">IF(J251&gt;0,1,0)</f>
        <v>#REF!</v>
      </c>
      <c r="K241" s="321" t="e">
        <f t="shared" si="70"/>
        <v>#REF!</v>
      </c>
      <c r="L241" s="477" t="e">
        <f t="shared" si="70"/>
        <v>#REF!</v>
      </c>
      <c r="M241" s="477" t="e">
        <f t="shared" si="70"/>
        <v>#REF!</v>
      </c>
      <c r="N241" s="263"/>
      <c r="O241" s="42"/>
    </row>
    <row r="242" spans="1:15" s="5" customFormat="1" ht="15" customHeight="1" outlineLevel="1">
      <c r="B242" s="10"/>
      <c r="C242" s="7"/>
      <c r="D242" s="11"/>
      <c r="E242" s="11"/>
      <c r="F242" s="11"/>
      <c r="G242" s="11"/>
      <c r="H242" s="11"/>
      <c r="I242" s="39"/>
      <c r="J242" s="39"/>
      <c r="K242" s="39"/>
      <c r="L242" s="458"/>
      <c r="M242" s="458"/>
      <c r="O242" s="42"/>
    </row>
    <row r="243" spans="1:15" s="5" customFormat="1" ht="15" customHeight="1" outlineLevel="1">
      <c r="B243" s="145" t="s">
        <v>46</v>
      </c>
      <c r="C243" s="144"/>
      <c r="D243" s="153">
        <v>0.3</v>
      </c>
      <c r="E243" s="11"/>
      <c r="F243" s="11"/>
      <c r="G243" s="11"/>
      <c r="H243" s="11"/>
      <c r="I243" s="39"/>
      <c r="J243" s="39"/>
      <c r="K243" s="39"/>
      <c r="L243" s="458"/>
      <c r="M243" s="458"/>
      <c r="O243" s="42"/>
    </row>
    <row r="244" spans="1:15" ht="15" customHeight="1" outlineLevel="1">
      <c r="A244" s="5"/>
      <c r="B244" s="173" t="s">
        <v>158</v>
      </c>
      <c r="C244" s="33"/>
      <c r="D244" s="257" t="e">
        <f>IF(M262=0,0,1)</f>
        <v>#REF!</v>
      </c>
      <c r="E244" s="11"/>
      <c r="F244" s="30"/>
      <c r="G244" s="266"/>
      <c r="H244" s="30"/>
      <c r="I244" s="30"/>
      <c r="J244" s="30"/>
      <c r="K244" s="30"/>
      <c r="L244" s="459"/>
      <c r="M244" s="478"/>
      <c r="O244" s="42"/>
    </row>
    <row r="245" spans="1:15" s="5" customFormat="1" ht="15" customHeight="1" outlineLevel="1">
      <c r="B245" s="10"/>
      <c r="C245" s="7"/>
      <c r="D245" s="47"/>
      <c r="E245" s="11"/>
      <c r="F245" s="11"/>
      <c r="G245" s="11"/>
      <c r="H245" s="11"/>
      <c r="I245" s="39"/>
      <c r="J245" s="39"/>
      <c r="K245" s="39"/>
      <c r="L245" s="458"/>
      <c r="M245" s="458"/>
    </row>
    <row r="246" spans="1:15" s="5" customFormat="1" ht="15" customHeight="1" outlineLevel="1">
      <c r="B246" s="10"/>
      <c r="C246" s="7"/>
      <c r="D246" s="47"/>
      <c r="E246" s="11"/>
      <c r="F246" s="11"/>
      <c r="G246" s="11"/>
      <c r="H246" s="11"/>
      <c r="I246" s="39"/>
      <c r="J246" s="39"/>
      <c r="K246" s="39"/>
      <c r="L246" s="458"/>
      <c r="M246" s="458"/>
    </row>
    <row r="247" spans="1:15" s="5" customFormat="1" ht="15" customHeight="1" outlineLevel="1">
      <c r="B247" s="55" t="s">
        <v>184</v>
      </c>
      <c r="C247" s="7"/>
      <c r="D247" s="11"/>
      <c r="E247" s="11"/>
      <c r="F247" s="11"/>
      <c r="G247" s="11"/>
      <c r="H247" s="11"/>
      <c r="I247" s="39"/>
      <c r="J247" s="39"/>
      <c r="K247" s="39"/>
      <c r="L247" s="458"/>
      <c r="M247" s="458"/>
      <c r="O247" s="45"/>
    </row>
    <row r="248" spans="1:15" s="5" customFormat="1" ht="15" customHeight="1" outlineLevel="1">
      <c r="B248" s="269" t="s">
        <v>27</v>
      </c>
      <c r="C248" s="7"/>
      <c r="D248" s="11"/>
      <c r="E248" s="11"/>
      <c r="F248" s="11"/>
      <c r="G248" s="11"/>
      <c r="H248" s="30"/>
      <c r="I248" s="30" t="e">
        <f>I240</f>
        <v>#REF!</v>
      </c>
      <c r="J248" s="30" t="e">
        <f>J240</f>
        <v>#REF!</v>
      </c>
      <c r="K248" s="30" t="e">
        <f>K240</f>
        <v>#REF!</v>
      </c>
      <c r="L248" s="459" t="e">
        <f>L240</f>
        <v>#REF!</v>
      </c>
      <c r="M248" s="459" t="e">
        <f>M240</f>
        <v>#REF!</v>
      </c>
      <c r="N248" s="30"/>
      <c r="O248" s="45"/>
    </row>
    <row r="249" spans="1:15" s="5" customFormat="1" ht="15" customHeight="1" outlineLevel="1">
      <c r="B249" s="269" t="s">
        <v>28</v>
      </c>
      <c r="C249" s="7"/>
      <c r="D249" s="11"/>
      <c r="E249" s="11"/>
      <c r="F249" s="11"/>
      <c r="G249" s="11"/>
      <c r="H249" s="122"/>
      <c r="I249" s="30" t="e">
        <f>-I$220</f>
        <v>#REF!</v>
      </c>
      <c r="J249" s="30" t="e">
        <f>-J$220</f>
        <v>#REF!</v>
      </c>
      <c r="K249" s="30" t="e">
        <f>-K$220</f>
        <v>#REF!</v>
      </c>
      <c r="L249" s="459" t="e">
        <f>-L$220</f>
        <v>#REF!</v>
      </c>
      <c r="M249" s="459" t="e">
        <f>-M$220</f>
        <v>#REF!</v>
      </c>
      <c r="N249" s="30"/>
      <c r="O249" s="42"/>
    </row>
    <row r="250" spans="1:15" s="5" customFormat="1" ht="15" customHeight="1" outlineLevel="1">
      <c r="B250" s="269" t="s">
        <v>29</v>
      </c>
      <c r="C250" s="7"/>
      <c r="D250" s="11"/>
      <c r="E250" s="11"/>
      <c r="F250" s="11"/>
      <c r="G250" s="11"/>
      <c r="H250" s="122"/>
      <c r="I250" s="31">
        <f>I$227</f>
        <v>-400</v>
      </c>
      <c r="J250" s="31">
        <f>J$227</f>
        <v>-1150</v>
      </c>
      <c r="K250" s="31">
        <f>K$227</f>
        <v>-1790</v>
      </c>
      <c r="L250" s="459" t="e">
        <f>L$227</f>
        <v>#REF!</v>
      </c>
      <c r="M250" s="459" t="e">
        <f>M$227</f>
        <v>#REF!</v>
      </c>
      <c r="N250" s="30"/>
      <c r="O250" s="42"/>
    </row>
    <row r="251" spans="1:15" s="5" customFormat="1" ht="15" customHeight="1" outlineLevel="1">
      <c r="B251" s="269" t="s">
        <v>53</v>
      </c>
      <c r="C251" s="7"/>
      <c r="D251" s="11"/>
      <c r="E251" s="11"/>
      <c r="F251" s="11"/>
      <c r="G251" s="11"/>
      <c r="H251" s="30"/>
      <c r="I251" s="30" t="e">
        <f>SUM(I248:I250)</f>
        <v>#REF!</v>
      </c>
      <c r="J251" s="30" t="e">
        <f>SUM(J248:J250)</f>
        <v>#REF!</v>
      </c>
      <c r="K251" s="30" t="e">
        <f>SUM(K248:K250)</f>
        <v>#REF!</v>
      </c>
      <c r="L251" s="459" t="e">
        <f>SUM(L248:L250)</f>
        <v>#REF!</v>
      </c>
      <c r="M251" s="459" t="e">
        <f>SUM(M248:M250)</f>
        <v>#REF!</v>
      </c>
      <c r="N251" s="30"/>
      <c r="O251" s="45"/>
    </row>
    <row r="252" spans="1:15" s="5" customFormat="1" ht="15" customHeight="1" outlineLevel="1">
      <c r="B252" s="10"/>
      <c r="C252" s="7"/>
      <c r="D252" s="11"/>
      <c r="E252" s="11"/>
      <c r="F252" s="11"/>
      <c r="G252" s="11"/>
      <c r="H252" s="122"/>
      <c r="I252" s="30"/>
      <c r="J252" s="30"/>
      <c r="K252" s="30"/>
      <c r="L252" s="459"/>
      <c r="M252" s="459"/>
      <c r="N252" s="30"/>
      <c r="O252" s="42"/>
    </row>
    <row r="253" spans="1:15" s="5" customFormat="1" ht="15" customHeight="1" outlineLevel="1">
      <c r="B253" s="155" t="s">
        <v>185</v>
      </c>
      <c r="C253" s="7"/>
      <c r="D253" s="11"/>
      <c r="E253" s="11"/>
      <c r="F253" s="11"/>
      <c r="G253" s="11"/>
      <c r="H253" s="122"/>
      <c r="I253" s="30"/>
      <c r="J253" s="30"/>
      <c r="K253" s="30"/>
      <c r="L253" s="459"/>
      <c r="M253" s="459"/>
      <c r="N253" s="30"/>
      <c r="O253" s="42"/>
    </row>
    <row r="254" spans="1:15" s="5" customFormat="1" ht="15" customHeight="1" outlineLevel="1">
      <c r="B254" s="269" t="s">
        <v>53</v>
      </c>
      <c r="C254" s="7"/>
      <c r="D254" s="11"/>
      <c r="E254" s="11"/>
      <c r="F254" s="11"/>
      <c r="G254" s="11"/>
      <c r="H254" s="30"/>
      <c r="I254" s="30" t="e">
        <f>I251</f>
        <v>#REF!</v>
      </c>
      <c r="J254" s="30" t="e">
        <f>J251</f>
        <v>#REF!</v>
      </c>
      <c r="K254" s="30" t="e">
        <f>K251</f>
        <v>#REF!</v>
      </c>
      <c r="L254" s="459" t="e">
        <f>L251</f>
        <v>#REF!</v>
      </c>
      <c r="M254" s="459" t="e">
        <f>M251</f>
        <v>#REF!</v>
      </c>
      <c r="N254" s="30"/>
      <c r="O254" s="42"/>
    </row>
    <row r="255" spans="1:15" s="5" customFormat="1" ht="15" customHeight="1" outlineLevel="1">
      <c r="B255" s="271" t="s">
        <v>224</v>
      </c>
      <c r="C255" s="7"/>
      <c r="D255" s="11"/>
      <c r="E255" s="11"/>
      <c r="F255" s="11"/>
      <c r="G255" s="11"/>
      <c r="H255" s="122"/>
      <c r="I255" s="31" t="e">
        <f>I261</f>
        <v>#REF!</v>
      </c>
      <c r="J255" s="31" t="e">
        <f>J261</f>
        <v>#REF!</v>
      </c>
      <c r="K255" s="31" t="e">
        <f>K261</f>
        <v>#REF!</v>
      </c>
      <c r="L255" s="459" t="e">
        <f>L261</f>
        <v>#REF!</v>
      </c>
      <c r="M255" s="459" t="e">
        <f>M261</f>
        <v>#REF!</v>
      </c>
      <c r="N255" s="30"/>
      <c r="O255" s="42"/>
    </row>
    <row r="256" spans="1:15" s="5" customFormat="1" ht="15" customHeight="1" outlineLevel="1">
      <c r="B256" s="269" t="s">
        <v>30</v>
      </c>
      <c r="C256" s="7"/>
      <c r="D256" s="11"/>
      <c r="E256" s="11"/>
      <c r="F256" s="11"/>
      <c r="G256" s="11"/>
      <c r="H256" s="122"/>
      <c r="I256" s="30" t="e">
        <f xml:space="preserve"> MAX(SUM(I254:I255),0)</f>
        <v>#REF!</v>
      </c>
      <c r="J256" s="30" t="e">
        <f xml:space="preserve"> MAX(SUM(J254:J255),0)</f>
        <v>#REF!</v>
      </c>
      <c r="K256" s="30" t="e">
        <f xml:space="preserve"> MAX(SUM(K254:K255),0)</f>
        <v>#REF!</v>
      </c>
      <c r="L256" s="459" t="e">
        <f xml:space="preserve"> MAX(SUM(L254:L255),0)</f>
        <v>#REF!</v>
      </c>
      <c r="M256" s="459" t="e">
        <f xml:space="preserve"> MAX(SUM(M254:M255),0)</f>
        <v>#REF!</v>
      </c>
      <c r="N256" s="30"/>
      <c r="O256" s="45"/>
    </row>
    <row r="257" spans="2:15" s="5" customFormat="1" ht="15" customHeight="1" outlineLevel="1">
      <c r="B257" s="10"/>
      <c r="C257" s="7"/>
      <c r="D257" s="11"/>
      <c r="E257" s="11"/>
      <c r="F257" s="11"/>
      <c r="G257" s="11"/>
      <c r="H257" s="122"/>
      <c r="I257" s="122"/>
      <c r="J257" s="122"/>
      <c r="K257" s="122"/>
      <c r="L257" s="470"/>
      <c r="M257" s="470"/>
      <c r="N257" s="122"/>
      <c r="O257" s="45"/>
    </row>
    <row r="258" spans="2:15" s="5" customFormat="1" ht="15" customHeight="1" outlineLevel="1">
      <c r="B258" s="155" t="s">
        <v>186</v>
      </c>
      <c r="C258" s="7"/>
      <c r="D258" s="11"/>
      <c r="E258" s="11"/>
      <c r="F258" s="11"/>
      <c r="G258" s="11"/>
      <c r="H258" s="122"/>
      <c r="I258" s="122"/>
      <c r="J258" s="122"/>
      <c r="K258" s="122"/>
      <c r="L258" s="470"/>
      <c r="M258" s="470"/>
      <c r="N258" s="122"/>
      <c r="O258" s="45"/>
    </row>
    <row r="259" spans="2:15" s="5" customFormat="1" ht="15" customHeight="1" outlineLevel="1">
      <c r="B259" s="269" t="s">
        <v>8</v>
      </c>
      <c r="C259" s="7"/>
      <c r="D259" s="11"/>
      <c r="E259" s="11"/>
      <c r="F259" s="11"/>
      <c r="G259" s="11"/>
      <c r="H259" s="122"/>
      <c r="I259" s="30">
        <f>H262</f>
        <v>0</v>
      </c>
      <c r="J259" s="30" t="e">
        <f>I262</f>
        <v>#REF!</v>
      </c>
      <c r="K259" s="30" t="e">
        <f>J262</f>
        <v>#REF!</v>
      </c>
      <c r="L259" s="459" t="e">
        <f>K262</f>
        <v>#REF!</v>
      </c>
      <c r="M259" s="459" t="e">
        <f>L262</f>
        <v>#REF!</v>
      </c>
      <c r="N259" s="30"/>
      <c r="O259" s="45"/>
    </row>
    <row r="260" spans="2:15" s="5" customFormat="1" ht="15" customHeight="1" outlineLevel="1">
      <c r="B260" s="269" t="s">
        <v>42</v>
      </c>
      <c r="C260" s="7"/>
      <c r="D260" s="11"/>
      <c r="E260" s="11"/>
      <c r="F260" s="11"/>
      <c r="G260" s="11"/>
      <c r="H260" s="122"/>
      <c r="I260" s="30" t="e">
        <f>-MIN(I248,0)</f>
        <v>#REF!</v>
      </c>
      <c r="J260" s="30" t="e">
        <f>-MIN(J248,0)</f>
        <v>#REF!</v>
      </c>
      <c r="K260" s="30" t="e">
        <f>-MIN(K248,0)</f>
        <v>#REF!</v>
      </c>
      <c r="L260" s="459" t="e">
        <f>-MIN(L248,0)</f>
        <v>#REF!</v>
      </c>
      <c r="M260" s="459" t="e">
        <f>-MIN(M248,0)</f>
        <v>#REF!</v>
      </c>
      <c r="N260" s="30"/>
      <c r="O260" s="45"/>
    </row>
    <row r="261" spans="2:15" s="5" customFormat="1" ht="15" customHeight="1" outlineLevel="1">
      <c r="B261" s="271" t="s">
        <v>54</v>
      </c>
      <c r="C261" s="7"/>
      <c r="D261" s="11"/>
      <c r="E261" s="11"/>
      <c r="F261" s="11"/>
      <c r="G261" s="11"/>
      <c r="H261" s="177"/>
      <c r="I261" s="31" t="e">
        <f>-MIN(I259,I254)*I241</f>
        <v>#REF!</v>
      </c>
      <c r="J261" s="31" t="e">
        <f>-MIN(J259,J254)*J241</f>
        <v>#REF!</v>
      </c>
      <c r="K261" s="31" t="e">
        <f>-MIN(K259,K254)*K241</f>
        <v>#REF!</v>
      </c>
      <c r="L261" s="459" t="e">
        <f>-MIN(L259,L254)*L241</f>
        <v>#REF!</v>
      </c>
      <c r="M261" s="459" t="e">
        <f>-MIN(M259,M254)*M241</f>
        <v>#REF!</v>
      </c>
      <c r="N261" s="30"/>
      <c r="O261" s="45"/>
    </row>
    <row r="262" spans="2:15" s="5" customFormat="1" ht="15" customHeight="1" outlineLevel="1">
      <c r="B262" s="269" t="s">
        <v>9</v>
      </c>
      <c r="C262" s="7"/>
      <c r="D262" s="11"/>
      <c r="E262" s="11"/>
      <c r="F262" s="11"/>
      <c r="G262" s="11"/>
      <c r="H262" s="41">
        <f>Inputs!$L$97</f>
        <v>0</v>
      </c>
      <c r="I262" s="30" t="e">
        <f>SUM(I259:I261)</f>
        <v>#REF!</v>
      </c>
      <c r="J262" s="30" t="e">
        <f>SUM(J259:J261)</f>
        <v>#REF!</v>
      </c>
      <c r="K262" s="30" t="e">
        <f>SUM(K259:K261)</f>
        <v>#REF!</v>
      </c>
      <c r="L262" s="459" t="e">
        <f>SUM(L259:L261)</f>
        <v>#REF!</v>
      </c>
      <c r="M262" s="459" t="e">
        <f>SUM(M259:M261)</f>
        <v>#REF!</v>
      </c>
      <c r="N262" s="30"/>
      <c r="O262" s="42"/>
    </row>
    <row r="263" spans="2:15" s="5" customFormat="1" ht="15" customHeight="1" outlineLevel="1">
      <c r="B263" s="10"/>
      <c r="C263" s="7"/>
      <c r="D263" s="11"/>
      <c r="E263" s="11"/>
      <c r="F263" s="11"/>
      <c r="G263" s="11"/>
      <c r="H263" s="122"/>
      <c r="I263" s="122"/>
      <c r="J263" s="122"/>
      <c r="K263" s="122"/>
      <c r="L263" s="470"/>
      <c r="M263" s="470"/>
      <c r="N263" s="122"/>
      <c r="O263" s="45"/>
    </row>
    <row r="264" spans="2:15" s="5" customFormat="1" ht="15" customHeight="1" outlineLevel="1">
      <c r="B264" s="52"/>
      <c r="C264" s="53"/>
      <c r="D264" s="54"/>
      <c r="E264" s="54"/>
      <c r="F264" s="54"/>
      <c r="G264" s="54"/>
      <c r="H264" s="178"/>
      <c r="I264" s="178"/>
      <c r="J264" s="178"/>
      <c r="K264" s="178"/>
      <c r="L264" s="470"/>
      <c r="M264" s="470"/>
      <c r="N264" s="189"/>
      <c r="O264" s="45"/>
    </row>
    <row r="265" spans="2:15" s="5" customFormat="1" ht="15" customHeight="1" outlineLevel="1">
      <c r="B265" s="10"/>
      <c r="C265" s="7"/>
      <c r="D265" s="11"/>
      <c r="E265" s="11"/>
      <c r="F265" s="11"/>
      <c r="G265" s="11"/>
      <c r="H265" s="122"/>
      <c r="I265" s="122"/>
      <c r="J265" s="122"/>
      <c r="K265" s="122"/>
      <c r="L265" s="470"/>
      <c r="M265" s="470"/>
      <c r="N265" s="122"/>
      <c r="O265" s="45"/>
    </row>
    <row r="266" spans="2:15" s="5" customFormat="1" ht="15" customHeight="1" outlineLevel="1">
      <c r="B266" s="55" t="s">
        <v>187</v>
      </c>
      <c r="C266" s="7"/>
      <c r="D266" s="11"/>
      <c r="E266" s="11"/>
      <c r="F266" s="11"/>
      <c r="G266" s="11"/>
      <c r="H266" s="122"/>
      <c r="I266" s="122"/>
      <c r="J266" s="122"/>
      <c r="K266" s="122"/>
      <c r="L266" s="470"/>
      <c r="M266" s="470"/>
      <c r="N266" s="122"/>
      <c r="O266" s="45"/>
    </row>
    <row r="267" spans="2:15" s="5" customFormat="1" ht="15" customHeight="1" outlineLevel="1">
      <c r="B267" s="269" t="s">
        <v>43</v>
      </c>
      <c r="C267" s="7"/>
      <c r="D267" s="11"/>
      <c r="E267" s="11"/>
      <c r="F267" s="20"/>
      <c r="G267" s="20"/>
      <c r="H267" s="30"/>
      <c r="I267" s="30" t="e">
        <f>$D$243*I256</f>
        <v>#REF!</v>
      </c>
      <c r="J267" s="30" t="e">
        <f>$D$243*J256</f>
        <v>#REF!</v>
      </c>
      <c r="K267" s="30" t="e">
        <f>$D$243*K256</f>
        <v>#REF!</v>
      </c>
      <c r="L267" s="459" t="e">
        <f>$D$243*L256</f>
        <v>#REF!</v>
      </c>
      <c r="M267" s="459" t="e">
        <f>$D$243*M256</f>
        <v>#REF!</v>
      </c>
      <c r="N267" s="30"/>
    </row>
    <row r="268" spans="2:15" s="5" customFormat="1" ht="15" customHeight="1" outlineLevel="1">
      <c r="B268" s="269" t="s">
        <v>44</v>
      </c>
      <c r="C268" s="7"/>
      <c r="D268" s="11"/>
      <c r="E268" s="11"/>
      <c r="F268" s="11"/>
      <c r="G268" s="11"/>
      <c r="H268" s="122"/>
      <c r="I268" s="30" t="e">
        <f>I269-I267</f>
        <v>#REF!</v>
      </c>
      <c r="J268" s="30" t="e">
        <f>J269-J267</f>
        <v>#REF!</v>
      </c>
      <c r="K268" s="30" t="e">
        <f>K269-K267</f>
        <v>#REF!</v>
      </c>
      <c r="L268" s="459" t="e">
        <f>L269-L267</f>
        <v>#REF!</v>
      </c>
      <c r="M268" s="459" t="e">
        <f>M269-M267</f>
        <v>#REF!</v>
      </c>
      <c r="N268" s="30"/>
    </row>
    <row r="269" spans="2:15" s="5" customFormat="1" ht="15" customHeight="1" outlineLevel="1" thickBot="1">
      <c r="B269" s="269" t="s">
        <v>45</v>
      </c>
      <c r="C269" s="7"/>
      <c r="D269" s="11"/>
      <c r="E269" s="11"/>
      <c r="F269" s="11"/>
      <c r="G269" s="11"/>
      <c r="H269" s="122"/>
      <c r="I269" s="344" t="e">
        <f>MAX($D$243*I248,0)</f>
        <v>#REF!</v>
      </c>
      <c r="J269" s="344" t="e">
        <f>MAX($D$243*J248,0)</f>
        <v>#REF!</v>
      </c>
      <c r="K269" s="344" t="e">
        <f>MAX($D$243*K248,0)</f>
        <v>#REF!</v>
      </c>
      <c r="L269" s="467" t="e">
        <f>MAX($D$243*L248,0)</f>
        <v>#REF!</v>
      </c>
      <c r="M269" s="467" t="e">
        <f>MAX($D$243*M248,0)</f>
        <v>#REF!</v>
      </c>
      <c r="N269" s="30"/>
    </row>
    <row r="270" spans="2:15" s="5" customFormat="1" ht="15" customHeight="1" outlineLevel="1">
      <c r="B270" s="10"/>
      <c r="C270" s="7"/>
      <c r="D270" s="11"/>
      <c r="E270" s="11"/>
      <c r="F270" s="11"/>
      <c r="G270" s="11"/>
      <c r="H270" s="11"/>
      <c r="I270" s="39"/>
      <c r="J270" s="39"/>
      <c r="K270" s="39"/>
      <c r="L270" s="39"/>
      <c r="M270" s="39"/>
      <c r="O270" s="42"/>
    </row>
    <row r="271" spans="2:15" s="12" customFormat="1" ht="15" customHeight="1" outlineLevel="1">
      <c r="B271" s="17"/>
      <c r="C271" s="17"/>
      <c r="D271" s="14"/>
      <c r="E271" s="14"/>
      <c r="F271" s="45"/>
      <c r="G271" s="45"/>
      <c r="H271" s="45"/>
      <c r="I271" s="138"/>
      <c r="J271" s="138"/>
      <c r="K271" s="138"/>
      <c r="L271" s="138"/>
      <c r="M271" s="151"/>
      <c r="N271" s="151"/>
      <c r="O271" s="204"/>
    </row>
    <row r="272" spans="2:15" s="5" customFormat="1" ht="15" customHeight="1" outlineLevel="1">
      <c r="C272" s="7"/>
      <c r="D272" s="11"/>
      <c r="E272" s="11"/>
      <c r="F272" s="11"/>
      <c r="G272" s="11"/>
      <c r="H272" s="11"/>
      <c r="I272" s="39"/>
      <c r="J272" s="39"/>
      <c r="K272" s="39"/>
      <c r="L272" s="39"/>
      <c r="M272" s="251" t="s">
        <v>205</v>
      </c>
      <c r="O272" s="42"/>
    </row>
    <row r="273" spans="1:15" s="5" customFormat="1" ht="15" customHeight="1" outlineLevel="1">
      <c r="C273" s="7"/>
      <c r="D273" s="11"/>
      <c r="E273" s="11"/>
      <c r="F273" s="11"/>
      <c r="G273" s="11"/>
      <c r="H273" s="11"/>
      <c r="I273" s="39"/>
      <c r="J273" s="39"/>
      <c r="K273" s="39"/>
      <c r="L273" s="39"/>
      <c r="M273" s="252" t="s">
        <v>206</v>
      </c>
      <c r="O273" s="42"/>
    </row>
    <row r="274" spans="1:15" s="5" customFormat="1" ht="15" customHeight="1" outlineLevel="1">
      <c r="C274" s="7"/>
      <c r="D274" s="11"/>
      <c r="E274" s="11"/>
      <c r="F274" s="11"/>
      <c r="G274" s="11"/>
      <c r="H274" s="11"/>
      <c r="I274" s="39"/>
      <c r="J274" s="39"/>
      <c r="K274" s="39"/>
      <c r="L274" s="39"/>
      <c r="M274" s="136"/>
      <c r="O274" s="42"/>
    </row>
    <row r="275" spans="1:15" s="5" customFormat="1" ht="15" customHeight="1" outlineLevel="1">
      <c r="B275" s="32"/>
      <c r="C275" s="33"/>
      <c r="D275" s="34"/>
      <c r="E275" s="34"/>
      <c r="F275" s="34"/>
      <c r="G275" s="34"/>
      <c r="H275" s="34"/>
      <c r="I275" s="48"/>
      <c r="J275" s="48"/>
      <c r="K275" s="48"/>
      <c r="L275" s="48"/>
      <c r="M275" s="48"/>
      <c r="N275" s="48"/>
      <c r="O275" s="45"/>
    </row>
    <row r="276" spans="1:15" s="5" customFormat="1" ht="15" customHeight="1">
      <c r="B276" s="10"/>
      <c r="C276" s="7"/>
      <c r="D276" s="11"/>
      <c r="E276" s="11"/>
      <c r="F276" s="11"/>
      <c r="G276" s="11"/>
      <c r="H276" s="11"/>
      <c r="I276" s="39"/>
      <c r="J276" s="39"/>
      <c r="K276" s="39"/>
      <c r="L276" s="39"/>
      <c r="M276" s="39"/>
      <c r="N276" s="39"/>
      <c r="O276" s="45"/>
    </row>
    <row r="277" spans="1:15" s="5" customFormat="1" ht="15" customHeight="1">
      <c r="A277" s="5" t="s">
        <v>143</v>
      </c>
      <c r="B277" s="417" t="s">
        <v>72</v>
      </c>
      <c r="C277" s="413"/>
      <c r="D277" s="414"/>
      <c r="E277" s="414"/>
      <c r="F277" s="415"/>
      <c r="G277" s="415"/>
      <c r="H277" s="415"/>
      <c r="I277" s="415"/>
      <c r="J277" s="415"/>
      <c r="K277" s="415"/>
      <c r="L277" s="418"/>
      <c r="M277" s="415"/>
      <c r="N277" s="416"/>
      <c r="O277" s="45"/>
    </row>
    <row r="278" spans="1:15" s="5" customFormat="1" ht="15" customHeight="1" outlineLevel="1">
      <c r="B278" s="6"/>
      <c r="C278" s="7"/>
      <c r="D278" s="8"/>
      <c r="E278" s="8"/>
      <c r="F278" s="9"/>
      <c r="G278" s="9"/>
      <c r="H278" s="9"/>
      <c r="I278" s="9"/>
      <c r="J278" s="9"/>
      <c r="K278" s="9"/>
      <c r="L278" s="9"/>
      <c r="M278" s="9"/>
      <c r="O278" s="64"/>
    </row>
    <row r="279" spans="1:15" s="5" customFormat="1" ht="15" customHeight="1" outlineLevel="1" thickBot="1">
      <c r="B279" s="10" t="s">
        <v>19</v>
      </c>
      <c r="C279" s="7"/>
      <c r="D279" s="11"/>
      <c r="E279" s="11"/>
      <c r="F279" s="11"/>
      <c r="G279" s="11"/>
      <c r="H279" s="106">
        <f t="shared" ref="H279:M279" si="71">G$5</f>
        <v>1</v>
      </c>
      <c r="I279" s="102">
        <f t="shared" si="71"/>
        <v>2</v>
      </c>
      <c r="J279" s="102">
        <f t="shared" si="71"/>
        <v>3</v>
      </c>
      <c r="K279" s="102">
        <f t="shared" si="71"/>
        <v>4</v>
      </c>
      <c r="L279" s="458">
        <f t="shared" si="71"/>
        <v>5</v>
      </c>
      <c r="M279" s="458">
        <f t="shared" si="71"/>
        <v>6</v>
      </c>
      <c r="N279" s="39"/>
      <c r="O279" s="45"/>
    </row>
    <row r="280" spans="1:15" ht="15" customHeight="1" outlineLevel="1">
      <c r="A280" s="12"/>
      <c r="B280" s="10" t="str">
        <f>$B$6</f>
        <v>Best Case</v>
      </c>
      <c r="C280" s="7"/>
      <c r="D280" s="11"/>
      <c r="E280" s="11"/>
      <c r="F280" s="11"/>
      <c r="G280" s="11"/>
      <c r="H280" s="11"/>
      <c r="I280" s="39"/>
      <c r="J280" s="39"/>
      <c r="K280" s="39"/>
      <c r="L280" s="458"/>
      <c r="M280" s="458"/>
      <c r="N280" s="39"/>
    </row>
    <row r="281" spans="1:15" s="5" customFormat="1" ht="15" customHeight="1" outlineLevel="1">
      <c r="B281" s="10"/>
      <c r="C281" s="7"/>
      <c r="D281" s="11"/>
      <c r="E281" s="11"/>
      <c r="F281" s="11"/>
      <c r="G281" s="11"/>
      <c r="H281" s="11"/>
      <c r="I281" s="39"/>
      <c r="J281" s="39"/>
      <c r="K281" s="39"/>
      <c r="L281" s="458"/>
      <c r="M281" s="458"/>
      <c r="O281" s="45"/>
    </row>
    <row r="282" spans="1:15" s="5" customFormat="1" ht="15" customHeight="1" outlineLevel="1">
      <c r="B282" s="49" t="s">
        <v>73</v>
      </c>
      <c r="C282" s="7"/>
      <c r="D282" s="11"/>
      <c r="E282" s="11"/>
      <c r="F282" s="20"/>
      <c r="G282" s="20"/>
      <c r="H282" s="30"/>
      <c r="I282" s="159" t="e">
        <f>H104</f>
        <v>#REF!</v>
      </c>
      <c r="J282" s="142" t="e">
        <f>I104</f>
        <v>#REF!</v>
      </c>
      <c r="K282" s="479" t="e">
        <f>J104</f>
        <v>#REF!</v>
      </c>
      <c r="L282" s="459" t="e">
        <f>K104</f>
        <v>#REF!</v>
      </c>
      <c r="M282" s="459" t="e">
        <f>L104</f>
        <v>#REF!</v>
      </c>
      <c r="N282" s="30"/>
      <c r="O282" s="42"/>
    </row>
    <row r="283" spans="1:15" s="5" customFormat="1" ht="15" customHeight="1" outlineLevel="1">
      <c r="B283" s="49" t="s">
        <v>47</v>
      </c>
      <c r="C283" s="7"/>
      <c r="D283" s="11"/>
      <c r="E283" s="11"/>
      <c r="F283" s="11"/>
      <c r="G283" s="11"/>
      <c r="H283" s="11"/>
      <c r="I283" s="319" t="e">
        <f>IF(I293&gt;0,1,0)</f>
        <v>#REF!</v>
      </c>
      <c r="J283" s="320" t="e">
        <f t="shared" ref="J283:M283" si="72">IF(J293&gt;0,1,0)</f>
        <v>#REF!</v>
      </c>
      <c r="K283" s="480" t="e">
        <f t="shared" si="72"/>
        <v>#REF!</v>
      </c>
      <c r="L283" s="477" t="e">
        <f t="shared" si="72"/>
        <v>#REF!</v>
      </c>
      <c r="M283" s="477" t="e">
        <f t="shared" si="72"/>
        <v>#REF!</v>
      </c>
      <c r="N283" s="263"/>
      <c r="O283" s="42"/>
    </row>
    <row r="284" spans="1:15" s="5" customFormat="1" ht="15" customHeight="1" outlineLevel="1">
      <c r="B284" s="10"/>
      <c r="C284" s="7"/>
      <c r="D284" s="11"/>
      <c r="E284" s="11"/>
      <c r="F284" s="11"/>
      <c r="G284" s="11"/>
      <c r="H284" s="11"/>
      <c r="I284" s="39"/>
      <c r="J284" s="39"/>
      <c r="K284" s="39"/>
      <c r="L284" s="458"/>
      <c r="M284" s="458"/>
      <c r="O284" s="42"/>
    </row>
    <row r="285" spans="1:15" s="5" customFormat="1" ht="15" customHeight="1" outlineLevel="1">
      <c r="B285" s="145" t="s">
        <v>46</v>
      </c>
      <c r="C285" s="144"/>
      <c r="D285" s="153">
        <v>0.3</v>
      </c>
      <c r="E285" s="11"/>
      <c r="F285" s="11"/>
      <c r="G285" s="11"/>
      <c r="H285" s="11"/>
      <c r="I285" s="39"/>
      <c r="J285" s="39"/>
      <c r="K285" s="39"/>
      <c r="L285" s="458"/>
      <c r="M285" s="458"/>
      <c r="O285" s="42"/>
    </row>
    <row r="286" spans="1:15" ht="15" customHeight="1" outlineLevel="1">
      <c r="A286" s="5"/>
      <c r="B286" s="173" t="s">
        <v>158</v>
      </c>
      <c r="C286" s="33"/>
      <c r="D286" s="257" t="e">
        <f>IF(M304=0,0,1)</f>
        <v>#REF!</v>
      </c>
      <c r="E286" s="11"/>
      <c r="F286" s="30"/>
      <c r="G286" s="30"/>
      <c r="H286" s="30"/>
      <c r="I286" s="30"/>
      <c r="J286" s="30"/>
      <c r="K286" s="30"/>
      <c r="L286" s="459"/>
      <c r="M286" s="478"/>
      <c r="O286" s="42"/>
    </row>
    <row r="287" spans="1:15" s="5" customFormat="1" ht="15" customHeight="1" outlineLevel="1">
      <c r="B287" s="10"/>
      <c r="C287" s="7"/>
      <c r="D287" s="47"/>
      <c r="E287" s="11"/>
      <c r="F287" s="11"/>
      <c r="G287" s="11"/>
      <c r="H287" s="11"/>
      <c r="I287" s="39"/>
      <c r="J287" s="39"/>
      <c r="K287" s="39"/>
      <c r="L287" s="458"/>
      <c r="M287" s="458"/>
    </row>
    <row r="288" spans="1:15" s="5" customFormat="1" ht="15" customHeight="1" outlineLevel="1">
      <c r="B288" s="10"/>
      <c r="C288" s="7"/>
      <c r="D288" s="47"/>
      <c r="E288" s="11"/>
      <c r="F288" s="11"/>
      <c r="G288" s="11"/>
      <c r="H288" s="11"/>
      <c r="I288" s="39"/>
      <c r="J288" s="39"/>
      <c r="K288" s="39"/>
      <c r="L288" s="458"/>
      <c r="M288" s="458"/>
    </row>
    <row r="289" spans="2:15" s="5" customFormat="1" ht="15" customHeight="1" outlineLevel="1">
      <c r="B289" s="55" t="s">
        <v>184</v>
      </c>
      <c r="C289" s="7"/>
      <c r="D289" s="11"/>
      <c r="E289" s="11"/>
      <c r="F289" s="11"/>
      <c r="G289" s="11"/>
      <c r="H289" s="122"/>
      <c r="I289" s="122"/>
      <c r="J289" s="122"/>
      <c r="K289" s="122"/>
      <c r="L289" s="470"/>
      <c r="M289" s="470"/>
      <c r="O289" s="45"/>
    </row>
    <row r="290" spans="2:15" s="5" customFormat="1" ht="15" customHeight="1" outlineLevel="1">
      <c r="B290" s="269" t="s">
        <v>35</v>
      </c>
      <c r="C290" s="7"/>
      <c r="D290" s="11"/>
      <c r="E290" s="11"/>
      <c r="F290" s="20"/>
      <c r="G290" s="20"/>
      <c r="H290" s="30"/>
      <c r="I290" s="30" t="e">
        <f>I282</f>
        <v>#REF!</v>
      </c>
      <c r="J290" s="30" t="e">
        <f>J282</f>
        <v>#REF!</v>
      </c>
      <c r="K290" s="30" t="e">
        <f>K282</f>
        <v>#REF!</v>
      </c>
      <c r="L290" s="459" t="e">
        <f>L282</f>
        <v>#REF!</v>
      </c>
      <c r="M290" s="459" t="e">
        <f>M282</f>
        <v>#REF!</v>
      </c>
      <c r="N290" s="30"/>
      <c r="O290" s="45"/>
    </row>
    <row r="291" spans="2:15" s="5" customFormat="1" ht="15" customHeight="1" outlineLevel="1">
      <c r="B291" s="269" t="s">
        <v>28</v>
      </c>
      <c r="C291" s="7"/>
      <c r="D291" s="11"/>
      <c r="E291" s="11"/>
      <c r="F291" s="11"/>
      <c r="G291" s="11"/>
      <c r="H291" s="122"/>
      <c r="I291" s="30" t="e">
        <f>-I$220</f>
        <v>#REF!</v>
      </c>
      <c r="J291" s="30" t="e">
        <f>-J$220</f>
        <v>#REF!</v>
      </c>
      <c r="K291" s="30" t="e">
        <f>-K$220</f>
        <v>#REF!</v>
      </c>
      <c r="L291" s="459" t="e">
        <f>-L$220</f>
        <v>#REF!</v>
      </c>
      <c r="M291" s="459" t="e">
        <f>-M$220</f>
        <v>#REF!</v>
      </c>
      <c r="N291" s="30"/>
      <c r="O291" s="42"/>
    </row>
    <row r="292" spans="2:15" s="5" customFormat="1" ht="15" customHeight="1" outlineLevel="1">
      <c r="B292" s="269" t="s">
        <v>29</v>
      </c>
      <c r="C292" s="7"/>
      <c r="D292" s="11"/>
      <c r="E292" s="11"/>
      <c r="F292" s="11"/>
      <c r="G292" s="11"/>
      <c r="H292" s="122"/>
      <c r="I292" s="31">
        <f>I$227</f>
        <v>-400</v>
      </c>
      <c r="J292" s="31">
        <f>J$227</f>
        <v>-1150</v>
      </c>
      <c r="K292" s="31">
        <f>K$227</f>
        <v>-1790</v>
      </c>
      <c r="L292" s="459" t="e">
        <f>L$227</f>
        <v>#REF!</v>
      </c>
      <c r="M292" s="459" t="e">
        <f>M$227</f>
        <v>#REF!</v>
      </c>
      <c r="N292" s="30"/>
      <c r="O292" s="42"/>
    </row>
    <row r="293" spans="2:15" s="5" customFormat="1" ht="15" customHeight="1" outlineLevel="1">
      <c r="B293" s="269" t="s">
        <v>74</v>
      </c>
      <c r="C293" s="7"/>
      <c r="D293" s="11"/>
      <c r="E293" s="11"/>
      <c r="F293" s="20"/>
      <c r="G293" s="20"/>
      <c r="H293" s="30"/>
      <c r="I293" s="30" t="e">
        <f>SUM(I290:I292)</f>
        <v>#REF!</v>
      </c>
      <c r="J293" s="30" t="e">
        <f>SUM(J290:J292)</f>
        <v>#REF!</v>
      </c>
      <c r="K293" s="30" t="e">
        <f>SUM(K290:K292)</f>
        <v>#REF!</v>
      </c>
      <c r="L293" s="459" t="e">
        <f>SUM(L290:L292)</f>
        <v>#REF!</v>
      </c>
      <c r="M293" s="459" t="e">
        <f>SUM(M290:M292)</f>
        <v>#REF!</v>
      </c>
      <c r="N293" s="30"/>
      <c r="O293" s="45"/>
    </row>
    <row r="294" spans="2:15" s="5" customFormat="1" ht="15" customHeight="1" outlineLevel="1">
      <c r="B294" s="10"/>
      <c r="C294" s="7"/>
      <c r="D294" s="11"/>
      <c r="E294" s="11"/>
      <c r="F294" s="11"/>
      <c r="G294" s="11"/>
      <c r="H294" s="122"/>
      <c r="I294" s="30"/>
      <c r="J294" s="30"/>
      <c r="K294" s="30"/>
      <c r="L294" s="459"/>
      <c r="M294" s="459"/>
      <c r="N294" s="30"/>
      <c r="O294" s="42"/>
    </row>
    <row r="295" spans="2:15" s="5" customFormat="1" ht="15" customHeight="1" outlineLevel="1">
      <c r="B295" s="155" t="s">
        <v>185</v>
      </c>
      <c r="C295" s="7"/>
      <c r="D295" s="11"/>
      <c r="E295" s="11"/>
      <c r="F295" s="11"/>
      <c r="G295" s="11"/>
      <c r="H295" s="122"/>
      <c r="I295" s="30"/>
      <c r="J295" s="30"/>
      <c r="K295" s="30"/>
      <c r="L295" s="459"/>
      <c r="M295" s="459"/>
      <c r="N295" s="30"/>
      <c r="O295" s="42"/>
    </row>
    <row r="296" spans="2:15" s="5" customFormat="1" ht="15" customHeight="1" outlineLevel="1">
      <c r="B296" s="269" t="s">
        <v>74</v>
      </c>
      <c r="C296" s="7"/>
      <c r="D296" s="11"/>
      <c r="E296" s="11"/>
      <c r="F296" s="20"/>
      <c r="G296" s="20"/>
      <c r="H296" s="30"/>
      <c r="I296" s="30" t="e">
        <f>I293</f>
        <v>#REF!</v>
      </c>
      <c r="J296" s="30" t="e">
        <f>J293</f>
        <v>#REF!</v>
      </c>
      <c r="K296" s="30" t="e">
        <f>K293</f>
        <v>#REF!</v>
      </c>
      <c r="L296" s="459" t="e">
        <f>L293</f>
        <v>#REF!</v>
      </c>
      <c r="M296" s="459" t="e">
        <f>M293</f>
        <v>#REF!</v>
      </c>
      <c r="N296" s="30"/>
      <c r="O296" s="42"/>
    </row>
    <row r="297" spans="2:15" s="5" customFormat="1" ht="15" customHeight="1" outlineLevel="1">
      <c r="B297" s="271" t="s">
        <v>224</v>
      </c>
      <c r="C297" s="7"/>
      <c r="D297" s="11"/>
      <c r="E297" s="11"/>
      <c r="F297" s="11"/>
      <c r="G297" s="11"/>
      <c r="H297" s="122"/>
      <c r="I297" s="31" t="e">
        <f>I303</f>
        <v>#REF!</v>
      </c>
      <c r="J297" s="31" t="e">
        <f>J303</f>
        <v>#REF!</v>
      </c>
      <c r="K297" s="31" t="e">
        <f>K303</f>
        <v>#REF!</v>
      </c>
      <c r="L297" s="459" t="e">
        <f>L303</f>
        <v>#REF!</v>
      </c>
      <c r="M297" s="459" t="e">
        <f>M303</f>
        <v>#REF!</v>
      </c>
      <c r="N297" s="30"/>
      <c r="O297" s="42"/>
    </row>
    <row r="298" spans="2:15" s="5" customFormat="1" ht="15" customHeight="1" outlineLevel="1">
      <c r="B298" s="269" t="s">
        <v>30</v>
      </c>
      <c r="C298" s="7"/>
      <c r="D298" s="11"/>
      <c r="E298" s="11"/>
      <c r="F298" s="11"/>
      <c r="G298" s="11"/>
      <c r="H298" s="122"/>
      <c r="I298" s="30" t="e">
        <f xml:space="preserve"> MAX(SUM(I296:I297),0)</f>
        <v>#REF!</v>
      </c>
      <c r="J298" s="30" t="e">
        <f xml:space="preserve"> MAX(SUM(J296:J297),0)</f>
        <v>#REF!</v>
      </c>
      <c r="K298" s="30" t="e">
        <f xml:space="preserve"> MAX(SUM(K296:K297),0)</f>
        <v>#REF!</v>
      </c>
      <c r="L298" s="459" t="e">
        <f xml:space="preserve"> MAX(SUM(L296:L297),0)</f>
        <v>#REF!</v>
      </c>
      <c r="M298" s="459" t="e">
        <f xml:space="preserve"> MAX(SUM(M296:M297),0)</f>
        <v>#REF!</v>
      </c>
      <c r="N298" s="30"/>
      <c r="O298" s="45"/>
    </row>
    <row r="299" spans="2:15" s="5" customFormat="1" ht="15" customHeight="1" outlineLevel="1">
      <c r="B299" s="10"/>
      <c r="C299" s="7"/>
      <c r="D299" s="11"/>
      <c r="E299" s="11"/>
      <c r="F299" s="11"/>
      <c r="G299" s="11"/>
      <c r="H299" s="122"/>
      <c r="I299" s="122"/>
      <c r="J299" s="122"/>
      <c r="K299" s="122"/>
      <c r="L299" s="470"/>
      <c r="M299" s="470"/>
      <c r="N299" s="122"/>
      <c r="O299" s="45"/>
    </row>
    <row r="300" spans="2:15" s="5" customFormat="1" ht="15" customHeight="1" outlineLevel="1">
      <c r="B300" s="55" t="s">
        <v>186</v>
      </c>
      <c r="C300" s="7"/>
      <c r="D300" s="11"/>
      <c r="E300" s="11"/>
      <c r="F300" s="11"/>
      <c r="G300" s="11"/>
      <c r="H300" s="122"/>
      <c r="I300" s="122"/>
      <c r="J300" s="122"/>
      <c r="K300" s="122"/>
      <c r="L300" s="470"/>
      <c r="M300" s="470"/>
      <c r="N300" s="122"/>
      <c r="O300" s="45"/>
    </row>
    <row r="301" spans="2:15" s="5" customFormat="1" ht="15" customHeight="1" outlineLevel="1">
      <c r="B301" s="269" t="s">
        <v>8</v>
      </c>
      <c r="C301" s="7"/>
      <c r="D301" s="11"/>
      <c r="E301" s="11"/>
      <c r="F301" s="11"/>
      <c r="G301" s="11"/>
      <c r="H301" s="122"/>
      <c r="I301" s="30">
        <f>H304</f>
        <v>0</v>
      </c>
      <c r="J301" s="30" t="e">
        <f>I304</f>
        <v>#REF!</v>
      </c>
      <c r="K301" s="30" t="e">
        <f>J304</f>
        <v>#REF!</v>
      </c>
      <c r="L301" s="459" t="e">
        <f>K304</f>
        <v>#REF!</v>
      </c>
      <c r="M301" s="459" t="e">
        <f>L304</f>
        <v>#REF!</v>
      </c>
      <c r="N301" s="30"/>
      <c r="O301" s="45"/>
    </row>
    <row r="302" spans="2:15" s="5" customFormat="1" ht="15" customHeight="1" outlineLevel="1">
      <c r="B302" s="269" t="s">
        <v>42</v>
      </c>
      <c r="C302" s="7"/>
      <c r="D302" s="11"/>
      <c r="E302" s="11"/>
      <c r="F302" s="11"/>
      <c r="G302" s="11"/>
      <c r="H302" s="122"/>
      <c r="I302" s="30" t="e">
        <f>-MIN(I290,0)</f>
        <v>#REF!</v>
      </c>
      <c r="J302" s="30" t="e">
        <f>-MIN(J290,0)</f>
        <v>#REF!</v>
      </c>
      <c r="K302" s="30" t="e">
        <f>-MIN(K290,0)</f>
        <v>#REF!</v>
      </c>
      <c r="L302" s="459" t="e">
        <f>-MIN(L290,0)</f>
        <v>#REF!</v>
      </c>
      <c r="M302" s="459" t="e">
        <f>-MIN(M290,0)</f>
        <v>#REF!</v>
      </c>
      <c r="N302" s="30"/>
      <c r="O302" s="45"/>
    </row>
    <row r="303" spans="2:15" s="5" customFormat="1" ht="15" customHeight="1" outlineLevel="1">
      <c r="B303" s="269" t="s">
        <v>54</v>
      </c>
      <c r="C303" s="7"/>
      <c r="D303" s="11"/>
      <c r="E303" s="11"/>
      <c r="F303" s="11"/>
      <c r="G303" s="11"/>
      <c r="H303" s="177"/>
      <c r="I303" s="31" t="e">
        <f>-MIN(I301,I296)*I283</f>
        <v>#REF!</v>
      </c>
      <c r="J303" s="31" t="e">
        <f>-MIN(J301,J296)*J283</f>
        <v>#REF!</v>
      </c>
      <c r="K303" s="31" t="e">
        <f>-MIN(K301,K296)*K283</f>
        <v>#REF!</v>
      </c>
      <c r="L303" s="459" t="e">
        <f>-MIN(L301,L296)*L283</f>
        <v>#REF!</v>
      </c>
      <c r="M303" s="459" t="e">
        <f>-MIN(M301,M296)*M283</f>
        <v>#REF!</v>
      </c>
      <c r="N303" s="30"/>
      <c r="O303" s="45"/>
    </row>
    <row r="304" spans="2:15" s="5" customFormat="1" ht="15" customHeight="1" outlineLevel="1">
      <c r="B304" s="269" t="s">
        <v>9</v>
      </c>
      <c r="C304" s="7"/>
      <c r="D304" s="11"/>
      <c r="E304" s="11"/>
      <c r="F304" s="11"/>
      <c r="G304" s="11"/>
      <c r="H304" s="30">
        <f>H262</f>
        <v>0</v>
      </c>
      <c r="I304" s="30" t="e">
        <f>SUM(I301:I303)</f>
        <v>#REF!</v>
      </c>
      <c r="J304" s="30" t="e">
        <f>SUM(J301:J303)</f>
        <v>#REF!</v>
      </c>
      <c r="K304" s="30" t="e">
        <f>SUM(K301:K303)</f>
        <v>#REF!</v>
      </c>
      <c r="L304" s="459" t="e">
        <f>SUM(L301:L303)</f>
        <v>#REF!</v>
      </c>
      <c r="M304" s="459" t="e">
        <f>SUM(M301:M303)</f>
        <v>#REF!</v>
      </c>
      <c r="N304" s="30"/>
      <c r="O304" s="42"/>
    </row>
    <row r="305" spans="1:15" s="5" customFormat="1" ht="15" customHeight="1" outlineLevel="1">
      <c r="B305" s="10"/>
      <c r="C305" s="7"/>
      <c r="D305" s="11"/>
      <c r="E305" s="11"/>
      <c r="F305" s="11"/>
      <c r="G305" s="11"/>
      <c r="H305" s="122"/>
      <c r="I305" s="122"/>
      <c r="J305" s="122"/>
      <c r="K305" s="122"/>
      <c r="L305" s="470"/>
      <c r="M305" s="470"/>
      <c r="N305" s="122"/>
      <c r="O305" s="45"/>
    </row>
    <row r="306" spans="1:15" s="5" customFormat="1" ht="15" customHeight="1" outlineLevel="1">
      <c r="B306" s="52"/>
      <c r="C306" s="53"/>
      <c r="D306" s="54"/>
      <c r="E306" s="54"/>
      <c r="F306" s="54"/>
      <c r="G306" s="54"/>
      <c r="H306" s="178"/>
      <c r="I306" s="178"/>
      <c r="J306" s="178"/>
      <c r="K306" s="178"/>
      <c r="L306" s="470"/>
      <c r="M306" s="470"/>
      <c r="N306" s="189"/>
      <c r="O306" s="45"/>
    </row>
    <row r="307" spans="1:15" s="5" customFormat="1" ht="15" customHeight="1" outlineLevel="1">
      <c r="B307" s="10"/>
      <c r="C307" s="7"/>
      <c r="D307" s="11"/>
      <c r="E307" s="11"/>
      <c r="F307" s="11"/>
      <c r="G307" s="11"/>
      <c r="H307" s="122"/>
      <c r="I307" s="122"/>
      <c r="J307" s="122"/>
      <c r="K307" s="122"/>
      <c r="L307" s="470"/>
      <c r="M307" s="470"/>
      <c r="N307" s="122"/>
      <c r="O307" s="45"/>
    </row>
    <row r="308" spans="1:15" s="5" customFormat="1" ht="15" customHeight="1" outlineLevel="1">
      <c r="B308" s="55" t="s">
        <v>187</v>
      </c>
      <c r="C308" s="7"/>
      <c r="D308" s="11"/>
      <c r="E308" s="11"/>
      <c r="F308" s="11"/>
      <c r="G308" s="11"/>
      <c r="H308" s="122"/>
      <c r="I308" s="122"/>
      <c r="J308" s="122"/>
      <c r="K308" s="122"/>
      <c r="L308" s="470"/>
      <c r="M308" s="470"/>
      <c r="N308" s="122"/>
      <c r="O308" s="45"/>
    </row>
    <row r="309" spans="1:15" s="5" customFormat="1" ht="15" customHeight="1" outlineLevel="1">
      <c r="B309" s="269" t="s">
        <v>43</v>
      </c>
      <c r="C309" s="7"/>
      <c r="D309" s="11"/>
      <c r="E309" s="11"/>
      <c r="F309" s="20"/>
      <c r="G309" s="20"/>
      <c r="H309" s="30"/>
      <c r="I309" s="30" t="e">
        <f>$D$285*I298</f>
        <v>#REF!</v>
      </c>
      <c r="J309" s="30" t="e">
        <f>$D$285*J298</f>
        <v>#REF!</v>
      </c>
      <c r="K309" s="30" t="e">
        <f>$D$285*K298</f>
        <v>#REF!</v>
      </c>
      <c r="L309" s="459" t="e">
        <f>$D$285*L298</f>
        <v>#REF!</v>
      </c>
      <c r="M309" s="459" t="e">
        <f>$D$285*M298</f>
        <v>#REF!</v>
      </c>
      <c r="N309" s="30"/>
      <c r="O309" s="42"/>
    </row>
    <row r="310" spans="1:15" s="5" customFormat="1" ht="15" customHeight="1" outlineLevel="1">
      <c r="B310" s="269" t="s">
        <v>44</v>
      </c>
      <c r="C310" s="7"/>
      <c r="D310" s="11"/>
      <c r="E310" s="11"/>
      <c r="F310" s="11"/>
      <c r="G310" s="11"/>
      <c r="H310" s="122"/>
      <c r="I310" s="30" t="e">
        <f>I311-I309</f>
        <v>#REF!</v>
      </c>
      <c r="J310" s="30" t="e">
        <f>J311-J309</f>
        <v>#REF!</v>
      </c>
      <c r="K310" s="30" t="e">
        <f>K311-K309</f>
        <v>#REF!</v>
      </c>
      <c r="L310" s="459" t="e">
        <f>L311-L309</f>
        <v>#REF!</v>
      </c>
      <c r="M310" s="459" t="e">
        <f>M311-M309</f>
        <v>#REF!</v>
      </c>
      <c r="N310" s="30"/>
      <c r="O310" s="42"/>
    </row>
    <row r="311" spans="1:15" s="5" customFormat="1" ht="15" customHeight="1" outlineLevel="1" thickBot="1">
      <c r="B311" s="269" t="s">
        <v>45</v>
      </c>
      <c r="C311" s="7"/>
      <c r="D311" s="11"/>
      <c r="E311" s="11"/>
      <c r="F311" s="11"/>
      <c r="G311" s="11"/>
      <c r="H311" s="122"/>
      <c r="I311" s="344" t="e">
        <f>MAX($D$285*I290,0)</f>
        <v>#REF!</v>
      </c>
      <c r="J311" s="344" t="e">
        <f>MAX($D$285*J290,0)</f>
        <v>#REF!</v>
      </c>
      <c r="K311" s="344" t="e">
        <f>MAX($D$285*K290,0)</f>
        <v>#REF!</v>
      </c>
      <c r="L311" s="467" t="e">
        <f>MAX($D$285*L290,0)</f>
        <v>#REF!</v>
      </c>
      <c r="M311" s="467" t="e">
        <f>MAX($D$285*M290,0)</f>
        <v>#REF!</v>
      </c>
      <c r="N311" s="30"/>
      <c r="O311" s="42"/>
    </row>
    <row r="312" spans="1:15" s="5" customFormat="1" ht="15" customHeight="1" outlineLevel="1">
      <c r="B312" s="10"/>
      <c r="C312" s="7"/>
      <c r="D312" s="11"/>
      <c r="E312" s="11"/>
      <c r="F312" s="11"/>
      <c r="G312" s="11"/>
      <c r="H312" s="11"/>
      <c r="I312" s="39"/>
      <c r="J312" s="39"/>
      <c r="K312" s="39"/>
      <c r="L312" s="39"/>
      <c r="M312" s="39"/>
      <c r="O312" s="42"/>
    </row>
    <row r="313" spans="1:15" s="5" customFormat="1" ht="15" customHeight="1" outlineLevel="1">
      <c r="B313" s="10"/>
      <c r="C313" s="7"/>
      <c r="D313" s="11"/>
      <c r="E313" s="11"/>
      <c r="F313" s="11"/>
      <c r="G313" s="11"/>
      <c r="H313" s="11"/>
      <c r="I313" s="39"/>
      <c r="J313" s="39"/>
      <c r="K313" s="39"/>
      <c r="L313" s="39"/>
      <c r="M313" s="39"/>
      <c r="O313" s="42"/>
    </row>
    <row r="314" spans="1:15" s="5" customFormat="1" ht="15" customHeight="1" outlineLevel="1">
      <c r="C314" s="7"/>
      <c r="D314" s="11"/>
      <c r="E314" s="11"/>
      <c r="F314" s="11"/>
      <c r="G314" s="11"/>
      <c r="H314" s="11"/>
      <c r="I314" s="39"/>
      <c r="J314" s="39"/>
      <c r="K314" s="39"/>
      <c r="L314" s="39"/>
      <c r="M314" s="251" t="s">
        <v>205</v>
      </c>
      <c r="O314" s="42"/>
    </row>
    <row r="315" spans="1:15" s="5" customFormat="1" ht="15" customHeight="1" outlineLevel="1">
      <c r="C315" s="7"/>
      <c r="D315" s="11"/>
      <c r="E315" s="11"/>
      <c r="F315" s="11"/>
      <c r="G315" s="11"/>
      <c r="H315" s="11"/>
      <c r="I315" s="39"/>
      <c r="J315" s="39"/>
      <c r="K315" s="39"/>
      <c r="L315" s="39"/>
      <c r="M315" s="252" t="s">
        <v>206</v>
      </c>
      <c r="O315" s="42"/>
    </row>
    <row r="316" spans="1:15" s="5" customFormat="1" ht="15" customHeight="1" outlineLevel="1">
      <c r="C316" s="7"/>
      <c r="D316" s="11"/>
      <c r="E316" s="11"/>
      <c r="F316" s="11"/>
      <c r="G316" s="11"/>
      <c r="H316" s="11"/>
      <c r="I316" s="39"/>
      <c r="J316" s="39"/>
      <c r="K316" s="39"/>
      <c r="L316" s="39"/>
      <c r="M316" s="136"/>
      <c r="O316" s="42"/>
    </row>
    <row r="317" spans="1:15" s="5" customFormat="1" ht="15" customHeight="1" outlineLevel="1">
      <c r="B317" s="32"/>
      <c r="C317" s="33"/>
      <c r="D317" s="34"/>
      <c r="E317" s="34"/>
      <c r="F317" s="34"/>
      <c r="G317" s="34"/>
      <c r="H317" s="34"/>
      <c r="I317" s="48"/>
      <c r="J317" s="48"/>
      <c r="K317" s="48"/>
      <c r="L317" s="48"/>
      <c r="M317" s="48"/>
      <c r="N317" s="48"/>
      <c r="O317" s="45"/>
    </row>
    <row r="318" spans="1:15" s="5" customFormat="1" ht="15" customHeight="1">
      <c r="B318" s="10"/>
      <c r="C318" s="7"/>
      <c r="D318" s="11"/>
      <c r="E318" s="11"/>
      <c r="F318" s="11"/>
      <c r="G318" s="11"/>
      <c r="H318" s="11"/>
      <c r="I318" s="39"/>
      <c r="J318" s="39"/>
      <c r="K318" s="39"/>
      <c r="L318" s="39"/>
      <c r="M318" s="39"/>
      <c r="N318" s="39"/>
      <c r="O318" s="45"/>
    </row>
    <row r="319" spans="1:15" s="5" customFormat="1" ht="15" customHeight="1">
      <c r="A319" s="5" t="s">
        <v>143</v>
      </c>
      <c r="B319" s="417" t="s">
        <v>75</v>
      </c>
      <c r="C319" s="413"/>
      <c r="D319" s="414"/>
      <c r="E319" s="414"/>
      <c r="F319" s="415"/>
      <c r="G319" s="415"/>
      <c r="H319" s="415"/>
      <c r="I319" s="415"/>
      <c r="J319" s="415"/>
      <c r="K319" s="415"/>
      <c r="L319" s="418"/>
      <c r="M319" s="415"/>
      <c r="N319" s="416"/>
      <c r="O319" s="42"/>
    </row>
    <row r="320" spans="1:15" s="5" customFormat="1" ht="15" customHeight="1" outlineLevel="1">
      <c r="B320" s="6"/>
      <c r="C320" s="7"/>
      <c r="D320" s="8"/>
      <c r="E320" s="8"/>
      <c r="F320" s="9"/>
      <c r="G320" s="9"/>
      <c r="H320" s="9"/>
      <c r="I320" s="9"/>
      <c r="J320" s="9"/>
      <c r="K320" s="9"/>
      <c r="L320" s="9"/>
      <c r="M320" s="9"/>
      <c r="N320" s="9"/>
      <c r="O320" s="64"/>
    </row>
    <row r="321" spans="1:14" s="5" customFormat="1" ht="15" customHeight="1" outlineLevel="1" thickBot="1">
      <c r="B321" s="10" t="s">
        <v>19</v>
      </c>
      <c r="C321" s="7"/>
      <c r="D321" s="11"/>
      <c r="E321" s="11"/>
      <c r="F321" s="9"/>
      <c r="G321" s="9"/>
      <c r="H321" s="9"/>
      <c r="I321" s="102">
        <f t="shared" ref="I321:N321" si="73">H$5</f>
        <v>2</v>
      </c>
      <c r="J321" s="102">
        <f t="shared" si="73"/>
        <v>3</v>
      </c>
      <c r="K321" s="102">
        <f t="shared" si="73"/>
        <v>4</v>
      </c>
      <c r="L321" s="458">
        <f t="shared" si="73"/>
        <v>5</v>
      </c>
      <c r="M321" s="458">
        <f t="shared" si="73"/>
        <v>6</v>
      </c>
      <c r="N321" s="458" t="str">
        <f t="shared" si="73"/>
        <v>Term</v>
      </c>
    </row>
    <row r="322" spans="1:14" ht="15" customHeight="1" outlineLevel="1">
      <c r="A322" s="12"/>
      <c r="B322" s="10" t="str">
        <f>$B$6</f>
        <v>Best Case</v>
      </c>
      <c r="C322" s="7"/>
      <c r="D322" s="11"/>
      <c r="E322" s="11"/>
      <c r="F322" s="11"/>
      <c r="G322" s="11"/>
      <c r="H322" s="11"/>
      <c r="I322" s="39"/>
      <c r="J322" s="39"/>
      <c r="K322" s="39"/>
      <c r="L322" s="458"/>
      <c r="M322" s="458"/>
      <c r="N322" s="458"/>
    </row>
    <row r="323" spans="1:14" s="5" customFormat="1" ht="15" customHeight="1" outlineLevel="1">
      <c r="B323" s="10"/>
      <c r="C323" s="7"/>
      <c r="D323" s="11"/>
      <c r="E323" s="11"/>
      <c r="F323" s="11"/>
      <c r="G323" s="11"/>
      <c r="H323" s="11"/>
      <c r="I323" s="103"/>
      <c r="J323" s="103"/>
      <c r="K323" s="103"/>
      <c r="L323" s="469"/>
      <c r="M323" s="469"/>
      <c r="N323" s="469"/>
    </row>
    <row r="324" spans="1:14" s="5" customFormat="1" ht="15" customHeight="1" outlineLevel="1">
      <c r="B324" s="55" t="s">
        <v>188</v>
      </c>
      <c r="C324" s="7"/>
      <c r="D324" s="11"/>
      <c r="E324" s="55"/>
      <c r="F324" s="55" t="s">
        <v>219</v>
      </c>
      <c r="G324" s="122" t="s">
        <v>78</v>
      </c>
      <c r="H324" s="11"/>
      <c r="I324" s="39"/>
      <c r="J324" s="39"/>
      <c r="K324" s="39"/>
      <c r="L324" s="458"/>
      <c r="M324" s="458"/>
      <c r="N324" s="458"/>
    </row>
    <row r="325" spans="1:14" s="5" customFormat="1" ht="15" customHeight="1" outlineLevel="1">
      <c r="B325" s="269" t="s">
        <v>117</v>
      </c>
      <c r="C325" s="7"/>
      <c r="D325" s="11"/>
      <c r="E325" s="11"/>
      <c r="F325" s="145" t="s">
        <v>35</v>
      </c>
      <c r="G325" s="174" t="e">
        <f>M104</f>
        <v>#REF!</v>
      </c>
      <c r="H325" s="20"/>
      <c r="I325" s="30" t="e">
        <f>I309</f>
        <v>#REF!</v>
      </c>
      <c r="J325" s="30" t="e">
        <f>J309</f>
        <v>#REF!</v>
      </c>
      <c r="K325" s="30" t="e">
        <f>K309</f>
        <v>#REF!</v>
      </c>
      <c r="L325" s="459" t="e">
        <f>L309</f>
        <v>#REF!</v>
      </c>
      <c r="M325" s="459" t="e">
        <f>M309</f>
        <v>#REF!</v>
      </c>
      <c r="N325" s="459" t="e">
        <f>G325*$G$327</f>
        <v>#REF!</v>
      </c>
    </row>
    <row r="326" spans="1:14" s="5" customFormat="1" ht="15" customHeight="1" outlineLevel="1">
      <c r="B326" s="269" t="s">
        <v>116</v>
      </c>
      <c r="C326" s="7"/>
      <c r="D326" s="11"/>
      <c r="E326" s="11"/>
      <c r="F326" s="330" t="s">
        <v>27</v>
      </c>
      <c r="G326" s="175" t="e">
        <f>M107</f>
        <v>#REF!</v>
      </c>
      <c r="H326" s="20"/>
      <c r="I326" s="30" t="e">
        <f>I267</f>
        <v>#REF!</v>
      </c>
      <c r="J326" s="30" t="e">
        <f t="shared" ref="J326:M326" si="74">J267</f>
        <v>#REF!</v>
      </c>
      <c r="K326" s="30" t="e">
        <f t="shared" si="74"/>
        <v>#REF!</v>
      </c>
      <c r="L326" s="459" t="e">
        <f t="shared" si="74"/>
        <v>#REF!</v>
      </c>
      <c r="M326" s="459" t="e">
        <f t="shared" si="74"/>
        <v>#REF!</v>
      </c>
      <c r="N326" s="459" t="e">
        <f>G326*$G$327</f>
        <v>#REF!</v>
      </c>
    </row>
    <row r="327" spans="1:14" s="5" customFormat="1" ht="15" customHeight="1" outlineLevel="1">
      <c r="B327" s="269" t="s">
        <v>125</v>
      </c>
      <c r="C327" s="8"/>
      <c r="D327" s="154"/>
      <c r="E327" s="154"/>
      <c r="F327" s="65" t="s">
        <v>46</v>
      </c>
      <c r="G327" s="165">
        <f>$C$91</f>
        <v>0.2</v>
      </c>
      <c r="H327" s="20"/>
      <c r="I327" s="142" t="e">
        <f>I325-I326</f>
        <v>#REF!</v>
      </c>
      <c r="J327" s="142" t="e">
        <f t="shared" ref="J327:M327" si="75">J325-J326</f>
        <v>#REF!</v>
      </c>
      <c r="K327" s="142" t="e">
        <f t="shared" si="75"/>
        <v>#REF!</v>
      </c>
      <c r="L327" s="459" t="e">
        <f t="shared" si="75"/>
        <v>#REF!</v>
      </c>
      <c r="M327" s="459" t="e">
        <f t="shared" si="75"/>
        <v>#REF!</v>
      </c>
      <c r="N327" s="459" t="e">
        <f>N325-N326</f>
        <v>#REF!</v>
      </c>
    </row>
    <row r="328" spans="1:14" s="5" customFormat="1" ht="15" customHeight="1" outlineLevel="1">
      <c r="B328" s="10"/>
      <c r="C328" s="7"/>
      <c r="D328" s="11"/>
      <c r="E328" s="11"/>
      <c r="F328" s="104"/>
      <c r="G328" s="104"/>
      <c r="H328" s="104"/>
      <c r="I328" s="250"/>
      <c r="J328" s="250"/>
      <c r="K328" s="250"/>
      <c r="L328" s="481"/>
      <c r="M328" s="481"/>
      <c r="N328" s="481"/>
    </row>
    <row r="329" spans="1:14" s="5" customFormat="1" ht="15" customHeight="1" outlineLevel="1">
      <c r="B329" s="10"/>
      <c r="C329" s="7"/>
      <c r="D329" s="11"/>
      <c r="E329" s="11"/>
      <c r="F329" s="11"/>
      <c r="G329" s="11"/>
      <c r="H329" s="11"/>
      <c r="I329" s="39"/>
      <c r="J329" s="39"/>
      <c r="K329" s="39"/>
      <c r="L329" s="458"/>
      <c r="M329" s="458"/>
      <c r="N329" s="458"/>
    </row>
    <row r="330" spans="1:14" s="5" customFormat="1" ht="15" customHeight="1" outlineLevel="1">
      <c r="B330" s="32"/>
      <c r="C330" s="33"/>
      <c r="D330" s="34"/>
      <c r="E330" s="34"/>
      <c r="F330" s="34"/>
      <c r="G330" s="34"/>
      <c r="H330" s="34"/>
      <c r="I330" s="48"/>
      <c r="J330" s="48"/>
      <c r="K330" s="48"/>
      <c r="L330" s="458"/>
      <c r="M330" s="458"/>
      <c r="N330" s="458"/>
    </row>
    <row r="331" spans="1:14" s="5" customFormat="1" ht="15" customHeight="1" outlineLevel="1">
      <c r="B331" s="10"/>
      <c r="C331" s="7"/>
      <c r="D331" s="11"/>
      <c r="E331" s="11"/>
      <c r="F331" s="11"/>
      <c r="G331" s="11"/>
      <c r="H331" s="11"/>
      <c r="I331" s="39"/>
      <c r="J331" s="39"/>
      <c r="K331" s="39"/>
      <c r="L331" s="458"/>
      <c r="M331" s="458"/>
      <c r="N331" s="458"/>
    </row>
    <row r="332" spans="1:14" s="5" customFormat="1" ht="15" customHeight="1" outlineLevel="1">
      <c r="B332" s="55" t="s">
        <v>189</v>
      </c>
      <c r="D332" s="59"/>
      <c r="E332" s="11"/>
      <c r="F332" s="11"/>
      <c r="G332" s="11"/>
      <c r="H332" s="11"/>
      <c r="L332" s="460"/>
      <c r="M332" s="460"/>
      <c r="N332" s="460"/>
    </row>
    <row r="333" spans="1:14" s="5" customFormat="1" ht="15" customHeight="1" outlineLevel="1">
      <c r="B333" s="269" t="s">
        <v>33</v>
      </c>
      <c r="C333" s="7"/>
      <c r="D333" s="11"/>
      <c r="E333" s="11"/>
      <c r="F333" s="109"/>
      <c r="G333" s="20"/>
      <c r="H333" s="20"/>
      <c r="I333" s="30">
        <f t="shared" ref="I333:N333" si="76">H100</f>
        <v>96738</v>
      </c>
      <c r="J333" s="30">
        <f t="shared" si="76"/>
        <v>183915.70499999984</v>
      </c>
      <c r="K333" s="30">
        <f t="shared" si="76"/>
        <v>300221.10829499993</v>
      </c>
      <c r="L333" s="459" t="e">
        <f t="shared" si="76"/>
        <v>#REF!</v>
      </c>
      <c r="M333" s="459" t="e">
        <f t="shared" si="76"/>
        <v>#REF!</v>
      </c>
      <c r="N333" s="459" t="e">
        <f t="shared" si="76"/>
        <v>#REF!</v>
      </c>
    </row>
    <row r="334" spans="1:14" s="5" customFormat="1" ht="15" customHeight="1" outlineLevel="1">
      <c r="B334" s="269" t="s">
        <v>43</v>
      </c>
      <c r="C334" s="7"/>
      <c r="D334" s="11"/>
      <c r="E334" s="11"/>
      <c r="F334" s="109"/>
      <c r="G334" s="20"/>
      <c r="H334" s="20"/>
      <c r="I334" s="30" t="e">
        <f t="shared" ref="I334:N334" si="77">-I325</f>
        <v>#REF!</v>
      </c>
      <c r="J334" s="30" t="e">
        <f t="shared" si="77"/>
        <v>#REF!</v>
      </c>
      <c r="K334" s="30" t="e">
        <f t="shared" si="77"/>
        <v>#REF!</v>
      </c>
      <c r="L334" s="459" t="e">
        <f t="shared" si="77"/>
        <v>#REF!</v>
      </c>
      <c r="M334" s="459" t="e">
        <f t="shared" si="77"/>
        <v>#REF!</v>
      </c>
      <c r="N334" s="459" t="e">
        <f t="shared" si="77"/>
        <v>#REF!</v>
      </c>
    </row>
    <row r="335" spans="1:14" s="5" customFormat="1" ht="15" customHeight="1" outlineLevel="1">
      <c r="B335" s="269" t="s">
        <v>49</v>
      </c>
      <c r="C335" s="7"/>
      <c r="D335" s="11"/>
      <c r="E335" s="11"/>
      <c r="F335" s="20"/>
      <c r="G335" s="20"/>
      <c r="H335" s="20"/>
      <c r="I335" s="30">
        <f>-Inputs!G24</f>
        <v>-4000</v>
      </c>
      <c r="J335" s="30">
        <f>-Inputs!H24</f>
        <v>-4300</v>
      </c>
      <c r="K335" s="30">
        <f>-Inputs!I24</f>
        <v>-4400</v>
      </c>
      <c r="L335" s="459" t="e">
        <f>-Inputs!#REF!</f>
        <v>#REF!</v>
      </c>
      <c r="M335" s="459" t="e">
        <f>-Inputs!#REF!</f>
        <v>#REF!</v>
      </c>
      <c r="N335" s="459">
        <f>-Inputs!J24</f>
        <v>-4900</v>
      </c>
    </row>
    <row r="336" spans="1:14" s="5" customFormat="1" ht="15" customHeight="1" outlineLevel="1">
      <c r="B336" s="269" t="s">
        <v>7</v>
      </c>
      <c r="C336" s="7"/>
      <c r="D336" s="11"/>
      <c r="E336" s="11"/>
      <c r="F336" s="20"/>
      <c r="G336" s="20"/>
      <c r="H336" s="20"/>
      <c r="I336" s="30">
        <f t="shared" ref="I336:N336" si="78">G153</f>
        <v>-16633.000000000029</v>
      </c>
      <c r="J336" s="30">
        <f t="shared" si="78"/>
        <v>-21795.271499999973</v>
      </c>
      <c r="K336" s="30">
        <f t="shared" si="78"/>
        <v>-28172.703484500031</v>
      </c>
      <c r="L336" s="459" t="e">
        <f t="shared" si="78"/>
        <v>#REF!</v>
      </c>
      <c r="M336" s="459" t="e">
        <f t="shared" si="78"/>
        <v>#REF!</v>
      </c>
      <c r="N336" s="459" t="e">
        <f t="shared" si="78"/>
        <v>#REF!</v>
      </c>
    </row>
    <row r="337" spans="2:14" ht="15" customHeight="1" outlineLevel="1" thickBot="1">
      <c r="B337" s="269" t="s">
        <v>76</v>
      </c>
      <c r="C337" s="8"/>
      <c r="D337" s="154"/>
      <c r="E337" s="154"/>
      <c r="F337" s="20"/>
      <c r="G337" s="20"/>
      <c r="H337" s="20"/>
      <c r="I337" s="344" t="e">
        <f>SUM(I333:I336)</f>
        <v>#REF!</v>
      </c>
      <c r="J337" s="344" t="e">
        <f>SUM(J333:J336)</f>
        <v>#REF!</v>
      </c>
      <c r="K337" s="344" t="e">
        <f t="shared" ref="K337:N337" si="79">SUM(K333:K336)</f>
        <v>#REF!</v>
      </c>
      <c r="L337" s="467" t="e">
        <f>SUM(L333:L336)</f>
        <v>#REF!</v>
      </c>
      <c r="M337" s="467" t="e">
        <f t="shared" si="79"/>
        <v>#REF!</v>
      </c>
      <c r="N337" s="467" t="e">
        <f t="shared" si="79"/>
        <v>#REF!</v>
      </c>
    </row>
    <row r="338" spans="2:14" ht="15" customHeight="1" outlineLevel="1">
      <c r="L338" s="478"/>
      <c r="M338" s="478"/>
      <c r="N338" s="478"/>
    </row>
    <row r="339" spans="2:14" ht="15" customHeight="1" outlineLevel="1">
      <c r="L339" s="478"/>
      <c r="M339" s="478"/>
      <c r="N339" s="478"/>
    </row>
    <row r="340" spans="2:14" s="5" customFormat="1" ht="15" customHeight="1" outlineLevel="1">
      <c r="B340" s="55" t="s">
        <v>190</v>
      </c>
      <c r="D340" s="59"/>
      <c r="E340" s="11"/>
      <c r="F340" s="11"/>
      <c r="G340" s="11"/>
      <c r="H340" s="11"/>
      <c r="L340" s="460"/>
      <c r="M340" s="460"/>
      <c r="N340" s="460"/>
    </row>
    <row r="341" spans="2:14" s="5" customFormat="1" ht="15" customHeight="1" outlineLevel="1">
      <c r="B341" s="269" t="s">
        <v>39</v>
      </c>
      <c r="C341" s="7"/>
      <c r="D341" s="11"/>
      <c r="E341" s="11"/>
      <c r="F341" s="20"/>
      <c r="G341" s="20"/>
      <c r="H341" s="20"/>
      <c r="I341" s="30" t="e">
        <f t="shared" ref="I341:N341" si="80">H113</f>
        <v>#REF!</v>
      </c>
      <c r="J341" s="30" t="e">
        <f t="shared" si="80"/>
        <v>#REF!</v>
      </c>
      <c r="K341" s="30" t="e">
        <f t="shared" si="80"/>
        <v>#REF!</v>
      </c>
      <c r="L341" s="459" t="e">
        <f t="shared" si="80"/>
        <v>#REF!</v>
      </c>
      <c r="M341" s="459" t="e">
        <f t="shared" si="80"/>
        <v>#REF!</v>
      </c>
      <c r="N341" s="459" t="e">
        <f t="shared" si="80"/>
        <v>#REF!</v>
      </c>
    </row>
    <row r="342" spans="2:14" s="5" customFormat="1" ht="15" customHeight="1" outlineLevel="1">
      <c r="B342" s="269" t="s">
        <v>226</v>
      </c>
      <c r="C342" s="7"/>
      <c r="D342" s="11"/>
      <c r="E342" s="11"/>
      <c r="F342" s="20"/>
      <c r="G342" s="20"/>
      <c r="H342" s="20"/>
      <c r="I342" s="30" t="e">
        <f t="shared" ref="I342:N342" si="81">H103</f>
        <v>#REF!</v>
      </c>
      <c r="J342" s="30" t="e">
        <f t="shared" si="81"/>
        <v>#REF!</v>
      </c>
      <c r="K342" s="30" t="e">
        <f t="shared" si="81"/>
        <v>#REF!</v>
      </c>
      <c r="L342" s="459" t="e">
        <f t="shared" si="81"/>
        <v>#REF!</v>
      </c>
      <c r="M342" s="459" t="e">
        <f t="shared" si="81"/>
        <v>#REF!</v>
      </c>
      <c r="N342" s="459">
        <f t="shared" si="81"/>
        <v>4900</v>
      </c>
    </row>
    <row r="343" spans="2:14" s="5" customFormat="1" ht="15" customHeight="1" outlineLevel="1">
      <c r="B343" s="269" t="s">
        <v>227</v>
      </c>
      <c r="C343" s="7"/>
      <c r="D343" s="11"/>
      <c r="E343" s="11"/>
      <c r="F343" s="20"/>
      <c r="G343" s="20"/>
      <c r="H343" s="20"/>
      <c r="I343" s="30" t="e">
        <f t="shared" ref="I343:N343" si="82">H110</f>
        <v>#REF!</v>
      </c>
      <c r="J343" s="30" t="e">
        <f t="shared" si="82"/>
        <v>#REF!</v>
      </c>
      <c r="K343" s="30" t="e">
        <f t="shared" si="82"/>
        <v>#REF!</v>
      </c>
      <c r="L343" s="459" t="e">
        <f t="shared" si="82"/>
        <v>#REF!</v>
      </c>
      <c r="M343" s="459" t="e">
        <f t="shared" si="82"/>
        <v>#REF!</v>
      </c>
      <c r="N343" s="459">
        <f t="shared" si="82"/>
        <v>0</v>
      </c>
    </row>
    <row r="344" spans="2:14" s="5" customFormat="1" ht="15" customHeight="1" outlineLevel="1">
      <c r="B344" s="269" t="s">
        <v>77</v>
      </c>
      <c r="C344" s="7"/>
      <c r="D344" s="11"/>
      <c r="E344" s="11"/>
      <c r="F344" s="20"/>
      <c r="G344" s="20"/>
      <c r="H344" s="20"/>
      <c r="I344" s="30">
        <f t="shared" ref="I344:N344" si="83">H106</f>
        <v>0</v>
      </c>
      <c r="J344" s="30">
        <f t="shared" si="83"/>
        <v>0</v>
      </c>
      <c r="K344" s="30">
        <f t="shared" si="83"/>
        <v>0</v>
      </c>
      <c r="L344" s="459">
        <f t="shared" si="83"/>
        <v>0</v>
      </c>
      <c r="M344" s="459">
        <f t="shared" si="83"/>
        <v>0</v>
      </c>
      <c r="N344" s="459">
        <f t="shared" si="83"/>
        <v>0</v>
      </c>
    </row>
    <row r="345" spans="2:14" s="5" customFormat="1" ht="15" customHeight="1" outlineLevel="1">
      <c r="B345" s="269" t="s">
        <v>229</v>
      </c>
      <c r="C345" s="7"/>
      <c r="D345" s="11"/>
      <c r="E345" s="11"/>
      <c r="F345" s="20"/>
      <c r="G345" s="20"/>
      <c r="H345" s="20"/>
      <c r="I345" s="30" t="e">
        <f>-I327</f>
        <v>#REF!</v>
      </c>
      <c r="J345" s="30" t="e">
        <f t="shared" ref="J345:N345" si="84">-J327</f>
        <v>#REF!</v>
      </c>
      <c r="K345" s="30" t="e">
        <f t="shared" si="84"/>
        <v>#REF!</v>
      </c>
      <c r="L345" s="459" t="e">
        <f t="shared" si="84"/>
        <v>#REF!</v>
      </c>
      <c r="M345" s="459" t="e">
        <f t="shared" si="84"/>
        <v>#REF!</v>
      </c>
      <c r="N345" s="459" t="e">
        <f t="shared" si="84"/>
        <v>#REF!</v>
      </c>
    </row>
    <row r="346" spans="2:14" s="5" customFormat="1" ht="15" customHeight="1" outlineLevel="1">
      <c r="B346" s="269" t="s">
        <v>49</v>
      </c>
      <c r="C346" s="7"/>
      <c r="D346" s="11"/>
      <c r="E346" s="11"/>
      <c r="F346" s="20"/>
      <c r="G346" s="20"/>
      <c r="H346" s="20"/>
      <c r="I346" s="30">
        <f t="shared" ref="I346:N347" si="85">I335</f>
        <v>-4000</v>
      </c>
      <c r="J346" s="30">
        <f t="shared" si="85"/>
        <v>-4300</v>
      </c>
      <c r="K346" s="30">
        <f t="shared" si="85"/>
        <v>-4400</v>
      </c>
      <c r="L346" s="459" t="e">
        <f t="shared" si="85"/>
        <v>#REF!</v>
      </c>
      <c r="M346" s="459" t="e">
        <f t="shared" si="85"/>
        <v>#REF!</v>
      </c>
      <c r="N346" s="459">
        <f t="shared" si="85"/>
        <v>-4900</v>
      </c>
    </row>
    <row r="347" spans="2:14" s="5" customFormat="1" ht="15" customHeight="1" outlineLevel="1">
      <c r="B347" s="269" t="s">
        <v>7</v>
      </c>
      <c r="C347" s="7"/>
      <c r="D347" s="11"/>
      <c r="E347" s="11"/>
      <c r="F347" s="20"/>
      <c r="G347" s="20"/>
      <c r="H347" s="20"/>
      <c r="I347" s="30">
        <f t="shared" si="85"/>
        <v>-16633.000000000029</v>
      </c>
      <c r="J347" s="30">
        <f t="shared" si="85"/>
        <v>-21795.271499999973</v>
      </c>
      <c r="K347" s="30">
        <f t="shared" si="85"/>
        <v>-28172.703484500031</v>
      </c>
      <c r="L347" s="459" t="e">
        <f t="shared" si="85"/>
        <v>#REF!</v>
      </c>
      <c r="M347" s="459" t="e">
        <f t="shared" si="85"/>
        <v>#REF!</v>
      </c>
      <c r="N347" s="459" t="e">
        <f t="shared" si="85"/>
        <v>#REF!</v>
      </c>
    </row>
    <row r="348" spans="2:14" ht="15" customHeight="1" outlineLevel="1" thickBot="1">
      <c r="B348" s="269" t="s">
        <v>76</v>
      </c>
      <c r="C348" s="8"/>
      <c r="D348" s="154"/>
      <c r="E348" s="154"/>
      <c r="F348" s="20"/>
      <c r="G348" s="20"/>
      <c r="H348" s="20" t="e">
        <f>I348-G438</f>
        <v>#REF!</v>
      </c>
      <c r="I348" s="344" t="e">
        <f>SUM(I341:I347)</f>
        <v>#REF!</v>
      </c>
      <c r="J348" s="344" t="e">
        <f t="shared" ref="J348:N348" si="86">SUM(J341:J347)</f>
        <v>#REF!</v>
      </c>
      <c r="K348" s="344" t="e">
        <f t="shared" si="86"/>
        <v>#REF!</v>
      </c>
      <c r="L348" s="467" t="e">
        <f t="shared" si="86"/>
        <v>#REF!</v>
      </c>
      <c r="M348" s="467" t="e">
        <f t="shared" si="86"/>
        <v>#REF!</v>
      </c>
      <c r="N348" s="467" t="e">
        <f t="shared" si="86"/>
        <v>#REF!</v>
      </c>
    </row>
    <row r="349" spans="2:14" ht="15" customHeight="1" outlineLevel="1">
      <c r="L349" s="478"/>
      <c r="M349" s="478"/>
      <c r="N349" s="478"/>
    </row>
    <row r="350" spans="2:14" ht="15" customHeight="1" outlineLevel="1">
      <c r="I350" s="434"/>
      <c r="L350" s="478"/>
      <c r="M350" s="478"/>
      <c r="N350" s="478"/>
    </row>
    <row r="351" spans="2:14" ht="15" customHeight="1" outlineLevel="1">
      <c r="B351" s="272" t="s">
        <v>177</v>
      </c>
      <c r="C351" s="99"/>
      <c r="D351" s="100"/>
      <c r="E351" s="100"/>
      <c r="F351" s="101"/>
      <c r="G351" s="101"/>
      <c r="H351" s="101"/>
      <c r="I351" s="253" t="e">
        <f>IF(ROUND(I337-I348,1)=0,0,1)</f>
        <v>#REF!</v>
      </c>
      <c r="J351" s="255" t="e">
        <f>IF(ROUND(J337-J348,1)=0,0,1)</f>
        <v>#REF!</v>
      </c>
      <c r="K351" s="255" t="e">
        <f t="shared" ref="K351:M351" si="87">IF(ROUND(K337-K348,1)=0,0,1)</f>
        <v>#REF!</v>
      </c>
      <c r="L351" s="482" t="e">
        <f t="shared" si="87"/>
        <v>#REF!</v>
      </c>
      <c r="M351" s="482" t="e">
        <f t="shared" si="87"/>
        <v>#REF!</v>
      </c>
      <c r="N351" s="482"/>
    </row>
    <row r="352" spans="2:14" ht="15" customHeight="1" outlineLevel="1">
      <c r="C352" s="99"/>
      <c r="D352" s="100"/>
      <c r="E352" s="100"/>
      <c r="F352" s="101"/>
      <c r="G352" s="101"/>
      <c r="H352" s="101"/>
      <c r="I352" s="254"/>
      <c r="J352" s="254"/>
      <c r="K352" s="254"/>
      <c r="L352" s="101"/>
      <c r="M352" s="101"/>
      <c r="N352" s="101"/>
    </row>
    <row r="353" spans="1:15" ht="15" customHeight="1" outlineLevel="1">
      <c r="C353" s="99"/>
      <c r="D353" s="100"/>
      <c r="E353" s="100"/>
      <c r="F353" s="101"/>
      <c r="G353" s="101"/>
      <c r="H353" s="101"/>
    </row>
    <row r="354" spans="1:15" s="5" customFormat="1" ht="15" customHeight="1" outlineLevel="1">
      <c r="C354" s="7"/>
      <c r="D354" s="11"/>
      <c r="E354" s="11"/>
      <c r="F354" s="11"/>
      <c r="G354" s="11"/>
      <c r="H354" s="11"/>
      <c r="I354" s="39"/>
      <c r="J354" s="39"/>
      <c r="K354" s="39"/>
      <c r="L354" s="39"/>
      <c r="N354" s="251" t="s">
        <v>207</v>
      </c>
      <c r="O354" s="42"/>
    </row>
    <row r="355" spans="1:15" s="5" customFormat="1" ht="15" customHeight="1" outlineLevel="1">
      <c r="C355" s="7"/>
      <c r="D355" s="11"/>
      <c r="E355" s="11"/>
      <c r="F355" s="11"/>
      <c r="G355" s="11"/>
      <c r="H355" s="11"/>
      <c r="I355" s="39"/>
      <c r="J355" s="39"/>
      <c r="K355" s="39"/>
      <c r="L355" s="39"/>
      <c r="N355" s="252" t="s">
        <v>208</v>
      </c>
      <c r="O355" s="42"/>
    </row>
    <row r="356" spans="1:15" ht="15" customHeight="1" outlineLevel="1"/>
    <row r="357" spans="1:15" s="12" customFormat="1" ht="15" customHeight="1" outlineLevel="1">
      <c r="B357" s="90"/>
      <c r="C357" s="43"/>
      <c r="D357" s="28"/>
      <c r="E357" s="28"/>
      <c r="F357" s="137"/>
      <c r="G357" s="137"/>
      <c r="H357" s="137"/>
      <c r="I357" s="137"/>
      <c r="J357" s="137"/>
      <c r="K357" s="137"/>
      <c r="L357" s="137"/>
      <c r="M357" s="137"/>
      <c r="N357" s="137"/>
      <c r="O357" s="42"/>
    </row>
    <row r="358" spans="1:15" s="5" customFormat="1" ht="15" customHeight="1">
      <c r="B358" s="10"/>
      <c r="C358" s="7"/>
      <c r="D358" s="11"/>
      <c r="E358" s="11"/>
      <c r="F358" s="11"/>
      <c r="G358" s="11"/>
      <c r="H358" s="11"/>
      <c r="I358" s="39"/>
      <c r="J358" s="39"/>
      <c r="K358" s="39"/>
      <c r="L358" s="39"/>
      <c r="M358" s="39"/>
      <c r="N358" s="39"/>
    </row>
    <row r="359" spans="1:15" s="5" customFormat="1" ht="15" customHeight="1">
      <c r="A359" s="5" t="s">
        <v>143</v>
      </c>
      <c r="B359" s="417" t="s">
        <v>198</v>
      </c>
      <c r="C359" s="413"/>
      <c r="D359" s="414"/>
      <c r="E359" s="414"/>
      <c r="F359" s="415"/>
      <c r="G359" s="415"/>
      <c r="H359" s="415"/>
      <c r="I359" s="415"/>
      <c r="J359" s="415"/>
      <c r="K359" s="415"/>
      <c r="L359" s="418"/>
      <c r="M359" s="415"/>
      <c r="N359" s="416"/>
    </row>
    <row r="360" spans="1:15" s="5" customFormat="1" ht="15" customHeight="1" outlineLevel="1">
      <c r="B360" s="6"/>
      <c r="C360" s="7"/>
      <c r="D360" s="8"/>
      <c r="E360" s="8"/>
      <c r="F360" s="9"/>
      <c r="G360" s="9"/>
      <c r="H360" s="9"/>
      <c r="I360" s="9"/>
      <c r="J360" s="9"/>
      <c r="K360" s="9"/>
      <c r="L360" s="9"/>
      <c r="M360" s="9"/>
      <c r="N360" s="9"/>
      <c r="O360" s="64"/>
    </row>
    <row r="361" spans="1:15" s="5" customFormat="1" ht="15" customHeight="1" outlineLevel="1">
      <c r="B361" s="10" t="s">
        <v>19</v>
      </c>
      <c r="C361" s="7"/>
      <c r="D361" s="8"/>
      <c r="E361" s="8"/>
    </row>
    <row r="362" spans="1:15" s="5" customFormat="1" ht="15" customHeight="1" outlineLevel="1">
      <c r="B362" s="10" t="str">
        <f>$B$6</f>
        <v>Best Case</v>
      </c>
      <c r="E362" s="11"/>
      <c r="F362" s="9"/>
      <c r="G362" s="9"/>
      <c r="H362" s="200" t="s">
        <v>79</v>
      </c>
      <c r="I362" s="201" t="s">
        <v>209</v>
      </c>
      <c r="J362" s="202"/>
      <c r="K362" s="202"/>
      <c r="L362" s="202"/>
      <c r="M362" s="202"/>
      <c r="N362" s="228" t="s">
        <v>78</v>
      </c>
      <c r="O362" s="198"/>
    </row>
    <row r="363" spans="1:15" s="5" customFormat="1" ht="15" customHeight="1" outlineLevel="1">
      <c r="E363" s="11"/>
      <c r="H363" s="196" t="s">
        <v>88</v>
      </c>
      <c r="I363" s="196" t="s">
        <v>88</v>
      </c>
      <c r="J363" s="195" t="s">
        <v>88</v>
      </c>
      <c r="K363" s="195" t="s">
        <v>88</v>
      </c>
      <c r="L363" s="195" t="s">
        <v>88</v>
      </c>
      <c r="M363" s="195" t="s">
        <v>88</v>
      </c>
      <c r="N363" s="229" t="s">
        <v>88</v>
      </c>
      <c r="O363" s="198"/>
    </row>
    <row r="364" spans="1:15" s="5" customFormat="1" ht="15" customHeight="1" outlineLevel="1">
      <c r="B364" s="50" t="s">
        <v>213</v>
      </c>
      <c r="C364" s="304">
        <f>Outputs!$O$75</f>
        <v>0.02</v>
      </c>
      <c r="E364" s="11"/>
      <c r="F364" s="199" t="s">
        <v>160</v>
      </c>
      <c r="H364" s="197">
        <f>Inputs!$F$94</f>
        <v>44927</v>
      </c>
      <c r="I364" s="197">
        <f>Inputs!$F$96</f>
        <v>45291</v>
      </c>
      <c r="J364" s="398">
        <f>EDATE(I364,12)</f>
        <v>45657</v>
      </c>
      <c r="K364" s="398">
        <f t="shared" ref="K364:N365" si="88">EDATE(J364,12)</f>
        <v>46022</v>
      </c>
      <c r="L364" s="398">
        <f t="shared" si="88"/>
        <v>46387</v>
      </c>
      <c r="M364" s="398">
        <f t="shared" si="88"/>
        <v>46752</v>
      </c>
      <c r="N364" s="399">
        <f t="shared" si="88"/>
        <v>47118</v>
      </c>
      <c r="O364" s="198"/>
    </row>
    <row r="365" spans="1:15" s="5" customFormat="1" ht="15" customHeight="1" outlineLevel="1" thickBot="1">
      <c r="B365" s="51" t="s">
        <v>89</v>
      </c>
      <c r="C365" s="264">
        <f>Outputs!$O$76</f>
        <v>0.11137741853708437</v>
      </c>
      <c r="D365" s="8"/>
      <c r="E365" s="8"/>
      <c r="F365" s="199" t="s">
        <v>166</v>
      </c>
      <c r="H365" s="197">
        <f>H364</f>
        <v>44927</v>
      </c>
      <c r="I365" s="197">
        <f>Inputs!$F$95</f>
        <v>44927</v>
      </c>
      <c r="J365" s="398">
        <f>EDATE(I365,12)</f>
        <v>45292</v>
      </c>
      <c r="K365" s="398">
        <f t="shared" si="88"/>
        <v>45658</v>
      </c>
      <c r="L365" s="398">
        <f t="shared" si="88"/>
        <v>46023</v>
      </c>
      <c r="M365" s="398">
        <f t="shared" si="88"/>
        <v>46388</v>
      </c>
      <c r="N365" s="400">
        <f t="shared" si="88"/>
        <v>46753</v>
      </c>
      <c r="O365" s="198"/>
    </row>
    <row r="366" spans="1:15" s="5" customFormat="1" ht="15" customHeight="1" outlineLevel="1">
      <c r="B366" s="6"/>
      <c r="C366" s="7"/>
      <c r="D366" s="8"/>
      <c r="E366" s="8"/>
      <c r="F366" s="9"/>
      <c r="G366" s="9"/>
      <c r="H366" s="401"/>
      <c r="I366" s="401"/>
      <c r="J366" s="401"/>
      <c r="K366" s="401"/>
      <c r="L366" s="401"/>
      <c r="M366" s="401"/>
      <c r="N366" s="401"/>
      <c r="O366" s="64"/>
    </row>
    <row r="367" spans="1:15" s="5" customFormat="1" ht="15" customHeight="1" outlineLevel="1">
      <c r="B367" s="49" t="s">
        <v>76</v>
      </c>
      <c r="D367" s="11"/>
      <c r="E367" s="11"/>
      <c r="F367" s="20"/>
      <c r="G367" s="20"/>
      <c r="H367" s="260">
        <v>0</v>
      </c>
      <c r="I367" s="402" t="e">
        <f>I$348</f>
        <v>#REF!</v>
      </c>
      <c r="J367" s="402" t="e">
        <f t="shared" ref="J367:L367" si="89">J$348</f>
        <v>#REF!</v>
      </c>
      <c r="K367" s="402" t="e">
        <f t="shared" si="89"/>
        <v>#REF!</v>
      </c>
      <c r="L367" s="402" t="e">
        <f t="shared" si="89"/>
        <v>#REF!</v>
      </c>
      <c r="M367" s="402" t="e">
        <f>M$348</f>
        <v>#REF!</v>
      </c>
      <c r="N367" s="121" t="e">
        <f>N$348</f>
        <v>#REF!</v>
      </c>
      <c r="O367" s="64"/>
    </row>
    <row r="368" spans="1:15" s="5" customFormat="1" ht="15" customHeight="1" outlineLevel="1">
      <c r="O368" s="45"/>
    </row>
    <row r="369" spans="2:15" s="5" customFormat="1" ht="15" customHeight="1" outlineLevel="1">
      <c r="B369" s="10"/>
      <c r="D369" s="109"/>
      <c r="E369" s="11"/>
      <c r="F369" s="109"/>
      <c r="G369" s="11"/>
      <c r="H369" s="11"/>
      <c r="I369" s="39"/>
      <c r="J369" s="39"/>
      <c r="K369" s="39"/>
      <c r="L369" s="39"/>
      <c r="M369" s="39"/>
    </row>
    <row r="370" spans="2:15" s="5" customFormat="1" ht="15" customHeight="1" outlineLevel="1">
      <c r="B370" s="55" t="s">
        <v>214</v>
      </c>
      <c r="D370" s="109"/>
      <c r="E370" s="11"/>
      <c r="F370" s="109"/>
      <c r="G370" s="11"/>
      <c r="H370" s="11"/>
      <c r="I370" s="39"/>
      <c r="J370" s="39"/>
      <c r="K370" s="39"/>
      <c r="L370" s="39"/>
      <c r="M370" s="39"/>
    </row>
    <row r="371" spans="2:15" s="5" customFormat="1" ht="15" customHeight="1" outlineLevel="1">
      <c r="B371" s="107" t="s">
        <v>209</v>
      </c>
      <c r="D371" s="262"/>
      <c r="E371" s="11"/>
      <c r="F371" s="109"/>
      <c r="G371" s="20"/>
      <c r="H371" s="123">
        <v>0</v>
      </c>
      <c r="I371" s="160" t="e">
        <f>I367</f>
        <v>#REF!</v>
      </c>
      <c r="J371" s="160" t="e">
        <f>J367</f>
        <v>#REF!</v>
      </c>
      <c r="K371" s="160" t="e">
        <f>K367</f>
        <v>#REF!</v>
      </c>
      <c r="L371" s="160" t="e">
        <f>L367</f>
        <v>#REF!</v>
      </c>
      <c r="M371" s="160" t="e">
        <f>M367</f>
        <v>#REF!</v>
      </c>
      <c r="N371" s="46"/>
      <c r="O371" s="45"/>
    </row>
    <row r="372" spans="2:15" s="5" customFormat="1" ht="15" customHeight="1" outlineLevel="1">
      <c r="B372" s="107" t="s">
        <v>85</v>
      </c>
      <c r="D372" s="11"/>
      <c r="E372" s="11"/>
      <c r="F372" s="109"/>
      <c r="G372" s="20"/>
      <c r="H372" s="194">
        <v>0</v>
      </c>
      <c r="I372" s="194">
        <v>0</v>
      </c>
      <c r="J372" s="194">
        <v>0</v>
      </c>
      <c r="K372" s="194">
        <v>0</v>
      </c>
      <c r="L372" s="194">
        <v>0</v>
      </c>
      <c r="M372" s="181" t="e">
        <f>N367/(C365-C364)</f>
        <v>#REF!</v>
      </c>
      <c r="N372" s="46"/>
      <c r="O372" s="45"/>
    </row>
    <row r="373" spans="2:15" s="5" customFormat="1" ht="15" customHeight="1" outlineLevel="1">
      <c r="B373" s="107" t="s">
        <v>86</v>
      </c>
      <c r="D373" s="154"/>
      <c r="E373" s="154"/>
      <c r="F373" s="20"/>
      <c r="G373" s="20"/>
      <c r="H373" s="160">
        <f>SUM(H371:H372)</f>
        <v>0</v>
      </c>
      <c r="I373" s="160" t="e">
        <f>SUM(I371:I372)</f>
        <v>#REF!</v>
      </c>
      <c r="J373" s="160" t="e">
        <f t="shared" ref="J373:L373" si="90">SUM(J371:J372)</f>
        <v>#REF!</v>
      </c>
      <c r="K373" s="160" t="e">
        <f t="shared" si="90"/>
        <v>#REF!</v>
      </c>
      <c r="L373" s="160" t="e">
        <f t="shared" si="90"/>
        <v>#REF!</v>
      </c>
      <c r="M373" s="160" t="e">
        <f>SUM(M371:M372)</f>
        <v>#REF!</v>
      </c>
      <c r="N373" s="20"/>
      <c r="O373" s="45"/>
    </row>
    <row r="374" spans="2:15" s="5" customFormat="1" ht="15" customHeight="1" outlineLevel="1">
      <c r="B374" s="55"/>
      <c r="D374" s="11"/>
      <c r="E374" s="11"/>
      <c r="F374" s="104"/>
      <c r="G374" s="104"/>
      <c r="H374" s="104"/>
      <c r="I374" s="104"/>
      <c r="J374" s="104"/>
      <c r="K374" s="104"/>
      <c r="L374" s="104"/>
      <c r="M374" s="109"/>
      <c r="N374" s="109"/>
      <c r="O374" s="45"/>
    </row>
    <row r="375" spans="2:15" s="5" customFormat="1" ht="15" customHeight="1" outlineLevel="1">
      <c r="B375" s="55" t="s">
        <v>215</v>
      </c>
      <c r="D375" s="11"/>
      <c r="E375" s="11"/>
      <c r="F375" s="109"/>
      <c r="G375" s="11"/>
      <c r="H375" s="11"/>
      <c r="I375" s="39"/>
      <c r="J375" s="39"/>
      <c r="K375" s="39"/>
      <c r="L375" s="39"/>
      <c r="M375" s="39"/>
      <c r="N375" s="20"/>
      <c r="O375" s="45"/>
    </row>
    <row r="376" spans="2:15" s="5" customFormat="1" ht="15" customHeight="1" outlineLevel="1">
      <c r="B376" s="269" t="s">
        <v>165</v>
      </c>
      <c r="D376" s="11"/>
      <c r="E376" s="11"/>
      <c r="F376" s="104"/>
      <c r="G376" s="104"/>
      <c r="H376" s="123">
        <v>0</v>
      </c>
      <c r="I376" s="285">
        <f>YEARFRAC(I364,H364)</f>
        <v>1</v>
      </c>
      <c r="J376" s="285">
        <f>YEARFRAC(J364,I364)</f>
        <v>1</v>
      </c>
      <c r="K376" s="285">
        <f>YEARFRAC(K364,J364)</f>
        <v>1</v>
      </c>
      <c r="L376" s="285">
        <f>YEARFRAC(L364,K364)</f>
        <v>1</v>
      </c>
      <c r="M376" s="285">
        <f>YEARFRAC(M364,L364)</f>
        <v>1</v>
      </c>
      <c r="N376" s="20"/>
      <c r="O376" s="45"/>
    </row>
    <row r="377" spans="2:15" s="5" customFormat="1" ht="6" customHeight="1" outlineLevel="1">
      <c r="B377" s="269"/>
      <c r="D377" s="11"/>
      <c r="E377" s="11"/>
      <c r="F377" s="104"/>
      <c r="G377" s="104"/>
      <c r="H377" s="123"/>
      <c r="I377" s="285"/>
      <c r="J377" s="285"/>
      <c r="K377" s="285"/>
      <c r="L377" s="285"/>
      <c r="M377" s="285"/>
      <c r="N377" s="20"/>
      <c r="O377" s="45"/>
    </row>
    <row r="378" spans="2:15" s="5" customFormat="1" ht="15" customHeight="1" outlineLevel="1">
      <c r="B378" s="107" t="s">
        <v>209</v>
      </c>
      <c r="D378" s="262"/>
      <c r="E378" s="11"/>
      <c r="F378" s="109"/>
      <c r="G378" s="20"/>
      <c r="H378" s="123">
        <v>0</v>
      </c>
      <c r="I378" s="160" t="e">
        <f>I371*I$376</f>
        <v>#REF!</v>
      </c>
      <c r="J378" s="160" t="e">
        <f t="shared" ref="J378:M379" si="91">J371*J$376</f>
        <v>#REF!</v>
      </c>
      <c r="K378" s="160" t="e">
        <f t="shared" si="91"/>
        <v>#REF!</v>
      </c>
      <c r="L378" s="160" t="e">
        <f t="shared" si="91"/>
        <v>#REF!</v>
      </c>
      <c r="M378" s="160" t="e">
        <f t="shared" si="91"/>
        <v>#REF!</v>
      </c>
      <c r="N378" s="20"/>
      <c r="O378" s="45"/>
    </row>
    <row r="379" spans="2:15" s="5" customFormat="1" ht="15" customHeight="1" outlineLevel="1">
      <c r="B379" s="107" t="s">
        <v>85</v>
      </c>
      <c r="D379" s="11"/>
      <c r="E379" s="11"/>
      <c r="F379" s="109"/>
      <c r="G379" s="20"/>
      <c r="H379" s="194">
        <v>0</v>
      </c>
      <c r="I379" s="181">
        <f>I372*I$376</f>
        <v>0</v>
      </c>
      <c r="J379" s="181">
        <f t="shared" si="91"/>
        <v>0</v>
      </c>
      <c r="K379" s="181">
        <f t="shared" si="91"/>
        <v>0</v>
      </c>
      <c r="L379" s="181">
        <f t="shared" si="91"/>
        <v>0</v>
      </c>
      <c r="M379" s="181" t="e">
        <f>M372*M$376</f>
        <v>#REF!</v>
      </c>
      <c r="N379" s="20"/>
      <c r="O379" s="45"/>
    </row>
    <row r="380" spans="2:15" s="5" customFormat="1" ht="15" customHeight="1" outlineLevel="1">
      <c r="B380" s="107" t="s">
        <v>86</v>
      </c>
      <c r="D380" s="154"/>
      <c r="E380" s="154"/>
      <c r="F380" s="20"/>
      <c r="G380" s="20"/>
      <c r="H380" s="160">
        <f>SUM(H378:H379)</f>
        <v>0</v>
      </c>
      <c r="I380" s="160" t="e">
        <f>SUM(I378:I379)</f>
        <v>#REF!</v>
      </c>
      <c r="J380" s="160" t="e">
        <f t="shared" ref="J380:L380" si="92">SUM(J378:J379)</f>
        <v>#REF!</v>
      </c>
      <c r="K380" s="160" t="e">
        <f t="shared" si="92"/>
        <v>#REF!</v>
      </c>
      <c r="L380" s="160" t="e">
        <f t="shared" si="92"/>
        <v>#REF!</v>
      </c>
      <c r="M380" s="160" t="e">
        <f>SUM(M378:M379)</f>
        <v>#REF!</v>
      </c>
      <c r="N380" s="20"/>
      <c r="O380" s="45"/>
    </row>
    <row r="381" spans="2:15" s="5" customFormat="1" ht="15" customHeight="1" outlineLevel="1">
      <c r="B381" s="269"/>
      <c r="D381" s="11"/>
      <c r="E381" s="11"/>
      <c r="F381" s="104"/>
      <c r="G381" s="104"/>
      <c r="H381" s="123"/>
      <c r="I381" s="285"/>
      <c r="J381" s="285"/>
      <c r="K381" s="285"/>
      <c r="L381" s="285"/>
      <c r="M381" s="285"/>
      <c r="N381" s="20"/>
      <c r="O381" s="45"/>
    </row>
    <row r="382" spans="2:15" s="5" customFormat="1" ht="15" customHeight="1" outlineLevel="1">
      <c r="B382" s="55" t="s">
        <v>216</v>
      </c>
      <c r="D382" s="11"/>
      <c r="E382" s="11"/>
      <c r="F382" s="109"/>
      <c r="G382" s="11"/>
      <c r="H382" s="11"/>
      <c r="I382" s="39"/>
      <c r="J382" s="39"/>
      <c r="K382" s="39"/>
      <c r="L382" s="39"/>
      <c r="M382" s="39"/>
      <c r="N382" s="20"/>
      <c r="O382" s="45"/>
    </row>
    <row r="383" spans="2:15" s="5" customFormat="1" ht="15" customHeight="1" outlineLevel="1">
      <c r="B383" s="269" t="s">
        <v>87</v>
      </c>
      <c r="C383" s="109"/>
      <c r="D383" s="11"/>
      <c r="E383" s="11"/>
      <c r="F383" s="20"/>
      <c r="G383" s="20"/>
      <c r="H383" s="79">
        <v>0</v>
      </c>
      <c r="I383" s="35">
        <f>H383+YEARFRAC(H365,I365)</f>
        <v>0</v>
      </c>
      <c r="J383" s="35">
        <f>I383+YEARFRAC(I365,J365)</f>
        <v>1</v>
      </c>
      <c r="K383" s="35">
        <f>J383+YEARFRAC(J365,K365)</f>
        <v>2</v>
      </c>
      <c r="L383" s="35">
        <f>K383+YEARFRAC(K365,L365)</f>
        <v>3</v>
      </c>
      <c r="M383" s="35">
        <f>L383+YEARFRAC(L365,M365)</f>
        <v>4</v>
      </c>
      <c r="N383" s="20"/>
      <c r="O383" s="45"/>
    </row>
    <row r="384" spans="2:15" s="5" customFormat="1" ht="6" customHeight="1" outlineLevel="1">
      <c r="B384" s="269"/>
      <c r="C384" s="109"/>
      <c r="D384" s="11"/>
      <c r="E384" s="11"/>
      <c r="F384" s="20"/>
      <c r="G384" s="20"/>
      <c r="H384" s="79"/>
      <c r="I384" s="35"/>
      <c r="J384" s="35"/>
      <c r="K384" s="35"/>
      <c r="L384" s="35"/>
      <c r="M384" s="35"/>
      <c r="N384" s="20"/>
      <c r="O384" s="45"/>
    </row>
    <row r="385" spans="2:15" s="5" customFormat="1" ht="15" customHeight="1" outlineLevel="1">
      <c r="B385" s="107" t="s">
        <v>209</v>
      </c>
      <c r="D385" s="262"/>
      <c r="E385" s="11"/>
      <c r="F385" s="109"/>
      <c r="G385" s="20"/>
      <c r="H385" s="40">
        <v>0</v>
      </c>
      <c r="I385" s="160" t="e">
        <f>I378/(1+$C$365)^I$383</f>
        <v>#REF!</v>
      </c>
      <c r="J385" s="160" t="e">
        <f t="shared" ref="J385:K385" si="93">J378/(1+$C$365)^J$383</f>
        <v>#REF!</v>
      </c>
      <c r="K385" s="160" t="e">
        <f t="shared" si="93"/>
        <v>#REF!</v>
      </c>
      <c r="L385" s="160" t="e">
        <f>L378/(1+$C$365)^L$383</f>
        <v>#REF!</v>
      </c>
      <c r="M385" s="160" t="e">
        <f>M378/(1+$C$365)^M$383</f>
        <v>#REF!</v>
      </c>
      <c r="N385" s="20"/>
      <c r="O385" s="45"/>
    </row>
    <row r="386" spans="2:15" s="5" customFormat="1" ht="15" customHeight="1" outlineLevel="1">
      <c r="B386" s="107" t="s">
        <v>85</v>
      </c>
      <c r="D386" s="11"/>
      <c r="E386" s="11"/>
      <c r="F386" s="109"/>
      <c r="G386" s="20"/>
      <c r="H386" s="194">
        <v>0</v>
      </c>
      <c r="I386" s="181">
        <f>I379/(1+$C$365)^I$383</f>
        <v>0</v>
      </c>
      <c r="J386" s="181">
        <f>J379/(1+$C$365)^J$383</f>
        <v>0</v>
      </c>
      <c r="K386" s="181">
        <f>K379/(1+$C$365)^K$383</f>
        <v>0</v>
      </c>
      <c r="L386" s="181">
        <f>L379/(1+$C$365)^L$383</f>
        <v>0</v>
      </c>
      <c r="M386" s="181" t="e">
        <f>M379/(1+$C$365)^M$383</f>
        <v>#REF!</v>
      </c>
      <c r="N386" s="20"/>
      <c r="O386" s="45"/>
    </row>
    <row r="387" spans="2:15" s="5" customFormat="1" ht="15" customHeight="1" outlineLevel="1">
      <c r="B387" s="107" t="s">
        <v>86</v>
      </c>
      <c r="D387" s="154"/>
      <c r="E387" s="154"/>
      <c r="F387" s="20"/>
      <c r="G387" s="20"/>
      <c r="H387" s="160">
        <f>SUM(H385:H386)</f>
        <v>0</v>
      </c>
      <c r="I387" s="160" t="e">
        <f>SUM(I385:I386)</f>
        <v>#REF!</v>
      </c>
      <c r="J387" s="160" t="e">
        <f>SUM(J385:J386)</f>
        <v>#REF!</v>
      </c>
      <c r="K387" s="160" t="e">
        <f t="shared" ref="K387:L387" si="94">SUM(K385:K386)</f>
        <v>#REF!</v>
      </c>
      <c r="L387" s="160" t="e">
        <f t="shared" si="94"/>
        <v>#REF!</v>
      </c>
      <c r="M387" s="160" t="e">
        <f>SUM(M385:M386)</f>
        <v>#REF!</v>
      </c>
      <c r="N387" s="20"/>
      <c r="O387" s="45"/>
    </row>
    <row r="388" spans="2:15" s="5" customFormat="1" ht="15" customHeight="1" outlineLevel="1">
      <c r="B388" s="269"/>
      <c r="D388" s="11"/>
      <c r="E388" s="11"/>
      <c r="F388" s="104"/>
      <c r="G388" s="104"/>
      <c r="H388" s="123"/>
      <c r="I388" s="285"/>
      <c r="J388" s="285"/>
      <c r="K388" s="285"/>
      <c r="L388" s="285"/>
      <c r="M388" s="285"/>
      <c r="N388" s="20"/>
      <c r="O388" s="45"/>
    </row>
    <row r="389" spans="2:15" ht="15" customHeight="1" outlineLevel="1">
      <c r="F389" s="204"/>
      <c r="G389" s="204"/>
      <c r="H389" s="204"/>
      <c r="I389" s="204"/>
      <c r="J389" s="204"/>
      <c r="K389" s="204"/>
      <c r="L389" s="204"/>
      <c r="M389" s="204"/>
    </row>
    <row r="390" spans="2:15" ht="15" customHeight="1" outlineLevel="1">
      <c r="F390" s="16" t="s">
        <v>191</v>
      </c>
      <c r="G390" s="286"/>
      <c r="H390" s="204"/>
      <c r="I390" s="204"/>
      <c r="J390" s="16" t="s">
        <v>191</v>
      </c>
      <c r="K390" s="286"/>
      <c r="L390" s="204"/>
      <c r="M390" s="204"/>
    </row>
    <row r="391" spans="2:15" ht="15" customHeight="1" outlineLevel="1">
      <c r="F391" s="295" t="s">
        <v>82</v>
      </c>
      <c r="G391" s="287"/>
      <c r="H391" s="174" t="e">
        <f>SUM(I387:M387)</f>
        <v>#REF!</v>
      </c>
      <c r="I391" s="204"/>
      <c r="J391" s="295" t="s">
        <v>211</v>
      </c>
      <c r="K391" s="287"/>
      <c r="L391" s="340" t="e">
        <f>M391/$M$393</f>
        <v>#REF!</v>
      </c>
      <c r="M391" s="174" t="e">
        <f>SUM(I385:M385)</f>
        <v>#REF!</v>
      </c>
    </row>
    <row r="392" spans="2:15" ht="15" customHeight="1" outlineLevel="1">
      <c r="F392" s="296" t="s">
        <v>228</v>
      </c>
      <c r="G392" s="294"/>
      <c r="H392" s="176" t="e">
        <f>XNPV(C365,H380:M380,H365:M365)</f>
        <v>#REF!</v>
      </c>
      <c r="I392" s="204"/>
      <c r="J392" s="297" t="s">
        <v>212</v>
      </c>
      <c r="K392" s="204"/>
      <c r="L392" s="403" t="e">
        <f>M392/$M$393</f>
        <v>#REF!</v>
      </c>
      <c r="M392" s="175" t="e">
        <f>SUM(I386:M386)</f>
        <v>#REF!</v>
      </c>
    </row>
    <row r="393" spans="2:15" ht="15" customHeight="1" outlineLevel="1">
      <c r="I393" s="204"/>
      <c r="J393" s="297" t="s">
        <v>81</v>
      </c>
      <c r="K393" s="204"/>
      <c r="L393" s="340" t="e">
        <f>M393/$M$393</f>
        <v>#REF!</v>
      </c>
      <c r="M393" s="174" t="e">
        <f>SUM(M391:M392)</f>
        <v>#REF!</v>
      </c>
    </row>
    <row r="394" spans="2:15" ht="15" customHeight="1" outlineLevel="1">
      <c r="F394" s="204"/>
      <c r="G394" s="204"/>
      <c r="H394" s="204"/>
      <c r="I394" s="204"/>
      <c r="J394" s="287"/>
      <c r="K394" s="287"/>
      <c r="L394" s="287"/>
      <c r="M394" s="287"/>
    </row>
    <row r="395" spans="2:15" ht="15" customHeight="1" outlineLevel="1">
      <c r="F395" s="204"/>
      <c r="G395" s="204"/>
      <c r="H395" s="204"/>
      <c r="I395" s="204"/>
      <c r="J395" s="204"/>
      <c r="K395" s="204"/>
      <c r="L395" s="204"/>
      <c r="M395" s="204"/>
    </row>
    <row r="396" spans="2:15" ht="15" customHeight="1" outlineLevel="1">
      <c r="F396" s="16" t="s">
        <v>192</v>
      </c>
      <c r="G396" s="20"/>
      <c r="H396" s="204"/>
      <c r="I396" s="204"/>
      <c r="J396" s="16" t="s">
        <v>193</v>
      </c>
      <c r="K396" s="20"/>
      <c r="L396" s="204"/>
      <c r="M396" s="204"/>
    </row>
    <row r="397" spans="2:15" ht="15" customHeight="1" outlineLevel="1">
      <c r="F397" s="295" t="s">
        <v>81</v>
      </c>
      <c r="G397" s="287"/>
      <c r="H397" s="142" t="e">
        <f>H392</f>
        <v>#REF!</v>
      </c>
      <c r="I397" s="288"/>
      <c r="J397" s="295" t="s">
        <v>111</v>
      </c>
      <c r="K397" s="287"/>
      <c r="L397" s="287"/>
      <c r="M397" s="174" t="e">
        <f>H399</f>
        <v>#REF!</v>
      </c>
    </row>
    <row r="398" spans="2:15" ht="15" customHeight="1" outlineLevel="1">
      <c r="F398" s="297" t="s">
        <v>220</v>
      </c>
      <c r="G398" s="204"/>
      <c r="H398" s="30">
        <f>-Inputs!$L$94</f>
        <v>0</v>
      </c>
      <c r="I398" s="288"/>
      <c r="J398" s="297" t="s">
        <v>114</v>
      </c>
      <c r="K398" s="204"/>
      <c r="L398" s="289" t="s">
        <v>148</v>
      </c>
      <c r="M398" s="175">
        <f>Inputs!$F$105</f>
        <v>34200</v>
      </c>
    </row>
    <row r="399" spans="2:15" ht="15" customHeight="1" outlineLevel="1">
      <c r="F399" s="297" t="s">
        <v>111</v>
      </c>
      <c r="G399" s="204"/>
      <c r="H399" s="142" t="e">
        <f>SUM(H397:H398)</f>
        <v>#REF!</v>
      </c>
      <c r="I399" s="288"/>
      <c r="J399" s="297" t="s">
        <v>111</v>
      </c>
      <c r="K399" s="204"/>
      <c r="L399" s="290" t="s">
        <v>115</v>
      </c>
      <c r="M399" s="404" t="e">
        <f>M397/M398</f>
        <v>#REF!</v>
      </c>
    </row>
    <row r="400" spans="2:15" ht="15" customHeight="1" outlineLevel="1">
      <c r="C400" s="20"/>
      <c r="F400" s="287"/>
      <c r="G400" s="287"/>
      <c r="H400" s="287"/>
      <c r="I400" s="204"/>
      <c r="J400" s="287"/>
      <c r="K400" s="287"/>
      <c r="L400" s="287"/>
      <c r="M400" s="287"/>
    </row>
    <row r="401" spans="2:15" ht="15" customHeight="1" outlineLevel="1">
      <c r="C401" s="20"/>
      <c r="F401" s="204"/>
      <c r="G401" s="204"/>
      <c r="H401" s="204"/>
      <c r="I401" s="204"/>
      <c r="J401" s="204"/>
      <c r="K401" s="204"/>
      <c r="L401" s="204"/>
      <c r="M401" s="204"/>
    </row>
    <row r="402" spans="2:15" s="5" customFormat="1" ht="15" customHeight="1" outlineLevel="1">
      <c r="C402" s="7"/>
      <c r="D402" s="11"/>
      <c r="E402" s="11"/>
      <c r="F402" s="291"/>
      <c r="G402" s="291"/>
      <c r="H402" s="291"/>
      <c r="I402" s="292"/>
      <c r="J402" s="292"/>
      <c r="K402" s="292"/>
      <c r="L402" s="292"/>
      <c r="M402" s="293" t="s">
        <v>175</v>
      </c>
      <c r="O402" s="42"/>
    </row>
    <row r="403" spans="2:15" s="5" customFormat="1" ht="15" customHeight="1" outlineLevel="1">
      <c r="C403" s="7"/>
      <c r="D403" s="11"/>
      <c r="E403" s="11"/>
      <c r="F403" s="11"/>
      <c r="G403" s="11"/>
      <c r="H403" s="11"/>
      <c r="I403" s="39"/>
      <c r="J403" s="39"/>
      <c r="K403" s="39"/>
      <c r="L403" s="39"/>
      <c r="M403" s="135"/>
      <c r="O403" s="42"/>
    </row>
    <row r="404" spans="2:15" s="5" customFormat="1" ht="15" customHeight="1" outlineLevel="1">
      <c r="B404" s="32"/>
      <c r="C404" s="33"/>
      <c r="D404" s="34"/>
      <c r="E404" s="34"/>
      <c r="F404" s="34"/>
      <c r="G404" s="34"/>
      <c r="H404" s="34"/>
      <c r="I404" s="48"/>
      <c r="J404" s="48"/>
      <c r="K404" s="48"/>
      <c r="L404" s="48"/>
      <c r="M404" s="48"/>
      <c r="N404" s="48"/>
    </row>
    <row r="405" spans="2:15" s="5" customFormat="1" ht="15" customHeight="1">
      <c r="B405" s="10"/>
      <c r="C405" s="7"/>
      <c r="D405" s="11"/>
      <c r="E405" s="11"/>
      <c r="F405" s="11"/>
      <c r="G405" s="11"/>
      <c r="H405" s="11"/>
      <c r="I405" s="39"/>
      <c r="J405" s="39"/>
      <c r="K405" s="39"/>
      <c r="L405" s="39"/>
      <c r="M405" s="39"/>
      <c r="N405" s="39"/>
    </row>
    <row r="406" spans="2:15" ht="15" customHeight="1">
      <c r="B406" s="417" t="s">
        <v>247</v>
      </c>
      <c r="C406" s="413"/>
      <c r="D406" s="414"/>
      <c r="E406" s="414"/>
      <c r="F406" s="415"/>
      <c r="G406" s="415"/>
      <c r="H406" s="415"/>
      <c r="I406" s="415"/>
      <c r="J406" s="415"/>
      <c r="K406" s="415"/>
      <c r="L406" s="418"/>
      <c r="M406" s="415"/>
      <c r="N406" s="416"/>
    </row>
    <row r="407" spans="2:15" ht="15" customHeight="1" outlineLevel="1">
      <c r="B407" s="6"/>
      <c r="C407" s="7"/>
      <c r="D407" s="8"/>
      <c r="E407" s="8"/>
      <c r="F407" s="9"/>
      <c r="G407" s="9"/>
      <c r="H407" s="9"/>
      <c r="I407" s="9"/>
      <c r="J407" s="9"/>
      <c r="K407" s="9"/>
      <c r="L407" s="9"/>
      <c r="M407" s="9"/>
    </row>
    <row r="408" spans="2:15" ht="15" customHeight="1" outlineLevel="1" thickBot="1">
      <c r="B408" s="10" t="s">
        <v>19</v>
      </c>
      <c r="C408" s="7"/>
      <c r="D408" s="11"/>
      <c r="E408" s="11"/>
      <c r="F408" s="439">
        <f>F445</f>
        <v>1</v>
      </c>
      <c r="G408" s="440">
        <f t="shared" ref="G408:K408" si="95">G445</f>
        <v>2</v>
      </c>
      <c r="H408" s="440">
        <f t="shared" si="95"/>
        <v>3</v>
      </c>
      <c r="I408" s="440">
        <f t="shared" si="95"/>
        <v>4</v>
      </c>
      <c r="J408" s="483">
        <f t="shared" si="95"/>
        <v>5</v>
      </c>
      <c r="K408" s="483">
        <f t="shared" si="95"/>
        <v>6</v>
      </c>
    </row>
    <row r="409" spans="2:15" ht="15" customHeight="1" outlineLevel="1">
      <c r="B409" s="10">
        <f>Inputs!B$6</f>
        <v>0</v>
      </c>
      <c r="C409" s="7"/>
      <c r="D409" s="11"/>
      <c r="E409" s="11"/>
      <c r="F409" s="11"/>
      <c r="G409" s="39"/>
      <c r="H409" s="39"/>
      <c r="I409" s="39"/>
      <c r="J409" s="458"/>
      <c r="K409" s="458"/>
    </row>
    <row r="410" spans="2:15" ht="15" customHeight="1" outlineLevel="1">
      <c r="B410" s="10"/>
      <c r="C410" s="7"/>
      <c r="D410" s="11"/>
      <c r="E410" s="11"/>
      <c r="F410" s="11"/>
      <c r="G410" s="5"/>
      <c r="H410" s="5"/>
      <c r="I410" s="5"/>
      <c r="J410" s="460"/>
      <c r="K410" s="460"/>
    </row>
    <row r="411" spans="2:15" ht="15" customHeight="1" outlineLevel="1">
      <c r="B411" s="10"/>
      <c r="C411" s="7"/>
      <c r="D411" s="11"/>
      <c r="E411" s="11"/>
      <c r="F411" s="11"/>
      <c r="G411" s="5"/>
      <c r="H411" s="5"/>
      <c r="I411" s="5"/>
      <c r="J411" s="460"/>
      <c r="K411" s="460"/>
    </row>
    <row r="412" spans="2:15" ht="15" customHeight="1" outlineLevel="1">
      <c r="B412" s="17" t="s">
        <v>248</v>
      </c>
      <c r="C412" s="17"/>
      <c r="F412" s="441"/>
      <c r="G412" s="442"/>
      <c r="H412" s="442"/>
      <c r="I412" s="442"/>
      <c r="J412" s="478"/>
      <c r="K412" s="462"/>
    </row>
    <row r="413" spans="2:15" ht="15" customHeight="1" outlineLevel="1">
      <c r="B413" s="269" t="s">
        <v>39</v>
      </c>
      <c r="C413" s="269"/>
      <c r="F413" s="46">
        <f t="shared" ref="F413:K413" si="96">G113</f>
        <v>33680</v>
      </c>
      <c r="G413" s="20" t="e">
        <f t="shared" si="96"/>
        <v>#REF!</v>
      </c>
      <c r="H413" s="20" t="e">
        <f t="shared" si="96"/>
        <v>#REF!</v>
      </c>
      <c r="I413" s="20" t="e">
        <f t="shared" si="96"/>
        <v>#REF!</v>
      </c>
      <c r="J413" s="461" t="e">
        <f t="shared" si="96"/>
        <v>#REF!</v>
      </c>
      <c r="K413" s="461" t="e">
        <f t="shared" si="96"/>
        <v>#REF!</v>
      </c>
    </row>
    <row r="414" spans="2:15" ht="15" customHeight="1" outlineLevel="1">
      <c r="B414" s="269" t="s">
        <v>44</v>
      </c>
      <c r="C414" s="269"/>
      <c r="F414" s="46">
        <f t="shared" ref="F414:K414" si="97">G110</f>
        <v>0</v>
      </c>
      <c r="G414" s="20" t="e">
        <f t="shared" si="97"/>
        <v>#REF!</v>
      </c>
      <c r="H414" s="20" t="e">
        <f t="shared" si="97"/>
        <v>#REF!</v>
      </c>
      <c r="I414" s="20" t="e">
        <f t="shared" si="97"/>
        <v>#REF!</v>
      </c>
      <c r="J414" s="461" t="e">
        <f t="shared" si="97"/>
        <v>#REF!</v>
      </c>
      <c r="K414" s="461" t="e">
        <f t="shared" si="97"/>
        <v>#REF!</v>
      </c>
    </row>
    <row r="415" spans="2:15" ht="15" customHeight="1" outlineLevel="1">
      <c r="B415" s="269" t="s">
        <v>34</v>
      </c>
      <c r="C415" s="269"/>
      <c r="F415" s="46">
        <f t="shared" ref="F415:K415" si="98">G103</f>
        <v>120</v>
      </c>
      <c r="G415" s="20" t="e">
        <f t="shared" si="98"/>
        <v>#REF!</v>
      </c>
      <c r="H415" s="20" t="e">
        <f t="shared" si="98"/>
        <v>#REF!</v>
      </c>
      <c r="I415" s="20" t="e">
        <f t="shared" si="98"/>
        <v>#REF!</v>
      </c>
      <c r="J415" s="461" t="e">
        <f t="shared" si="98"/>
        <v>#REF!</v>
      </c>
      <c r="K415" s="461" t="e">
        <f t="shared" si="98"/>
        <v>#REF!</v>
      </c>
    </row>
    <row r="416" spans="2:15" ht="15" customHeight="1" outlineLevel="1">
      <c r="B416" s="443" t="s">
        <v>249</v>
      </c>
      <c r="C416" s="269"/>
      <c r="F416" s="46">
        <f t="shared" ref="F416:K418" si="99">F141</f>
        <v>-3000</v>
      </c>
      <c r="G416" s="20">
        <f t="shared" si="99"/>
        <v>-20670</v>
      </c>
      <c r="H416" s="20">
        <f t="shared" si="99"/>
        <v>-26147.549999999988</v>
      </c>
      <c r="I416" s="20">
        <f t="shared" si="99"/>
        <v>-33076.65075000003</v>
      </c>
      <c r="J416" s="461" t="e">
        <f t="shared" si="99"/>
        <v>#REF!</v>
      </c>
      <c r="K416" s="461" t="e">
        <f t="shared" si="99"/>
        <v>#REF!</v>
      </c>
    </row>
    <row r="417" spans="2:11" ht="15" customHeight="1" outlineLevel="1">
      <c r="B417" s="443" t="s">
        <v>250</v>
      </c>
      <c r="C417" s="269"/>
      <c r="F417" s="46">
        <f t="shared" si="99"/>
        <v>-21000</v>
      </c>
      <c r="G417" s="20">
        <f t="shared" si="99"/>
        <v>-8074</v>
      </c>
      <c r="H417" s="20">
        <f t="shared" si="99"/>
        <v>-8704.5570000000153</v>
      </c>
      <c r="I417" s="20">
        <f t="shared" si="99"/>
        <v>-9807.8945310000126</v>
      </c>
      <c r="J417" s="461" t="e">
        <f t="shared" si="99"/>
        <v>#REF!</v>
      </c>
      <c r="K417" s="461" t="e">
        <f t="shared" si="99"/>
        <v>#REF!</v>
      </c>
    </row>
    <row r="418" spans="2:11" ht="15" customHeight="1" outlineLevel="1">
      <c r="B418" s="443" t="s">
        <v>251</v>
      </c>
      <c r="C418" s="269"/>
      <c r="F418" s="46">
        <f t="shared" si="99"/>
        <v>36500</v>
      </c>
      <c r="G418" s="20">
        <f t="shared" si="99"/>
        <v>12110.999999999971</v>
      </c>
      <c r="H418" s="20">
        <f t="shared" si="99"/>
        <v>13056.835500000045</v>
      </c>
      <c r="I418" s="20">
        <f t="shared" si="99"/>
        <v>14711.841796499997</v>
      </c>
      <c r="J418" s="461" t="e">
        <f t="shared" si="99"/>
        <v>#REF!</v>
      </c>
      <c r="K418" s="461" t="e">
        <f t="shared" si="99"/>
        <v>#REF!</v>
      </c>
    </row>
    <row r="419" spans="2:11" ht="15" customHeight="1" outlineLevel="1">
      <c r="B419" s="269" t="s">
        <v>24</v>
      </c>
      <c r="C419" s="269"/>
      <c r="F419" s="444">
        <v>17391.448499999999</v>
      </c>
      <c r="G419" s="445" t="e">
        <f>SUM(G413:G418)</f>
        <v>#REF!</v>
      </c>
      <c r="H419" s="445" t="e">
        <f>SUM(H413:H418)</f>
        <v>#REF!</v>
      </c>
      <c r="I419" s="445" t="e">
        <f>SUM(I413:I418)</f>
        <v>#REF!</v>
      </c>
      <c r="J419" s="461" t="e">
        <f>SUM(J413:J418)</f>
        <v>#REF!</v>
      </c>
      <c r="K419" s="461" t="e">
        <f>SUM(K413:K418)</f>
        <v>#REF!</v>
      </c>
    </row>
    <row r="420" spans="2:11" ht="15" customHeight="1" outlineLevel="1">
      <c r="B420" s="14" t="s">
        <v>252</v>
      </c>
      <c r="C420" s="14"/>
      <c r="F420" s="446"/>
      <c r="G420" s="447"/>
      <c r="H420" s="447"/>
      <c r="I420" s="447"/>
      <c r="J420" s="484"/>
      <c r="K420" s="484"/>
    </row>
    <row r="421" spans="2:11" ht="15" customHeight="1" outlineLevel="1">
      <c r="B421" s="14"/>
      <c r="C421" s="14"/>
      <c r="F421" s="446"/>
      <c r="G421" s="447"/>
      <c r="H421" s="447"/>
      <c r="I421" s="447"/>
      <c r="J421" s="484"/>
      <c r="K421" s="484"/>
    </row>
    <row r="422" spans="2:11" ht="15" customHeight="1" outlineLevel="1">
      <c r="B422" s="17" t="s">
        <v>253</v>
      </c>
      <c r="C422" s="17"/>
      <c r="F422" s="446"/>
      <c r="G422" s="447"/>
      <c r="H422" s="447"/>
      <c r="I422" s="447"/>
      <c r="J422" s="484"/>
      <c r="K422" s="484"/>
    </row>
    <row r="423" spans="2:11" ht="15" customHeight="1" outlineLevel="1">
      <c r="B423" s="269" t="s">
        <v>49</v>
      </c>
      <c r="C423" s="269"/>
      <c r="F423" s="46">
        <v>-11130</v>
      </c>
      <c r="G423" s="19">
        <f>Inputs!G24*-1</f>
        <v>-4000</v>
      </c>
      <c r="H423" s="19">
        <f>Inputs!H24*-1</f>
        <v>-4300</v>
      </c>
      <c r="I423" s="19">
        <f>Inputs!I24*-1</f>
        <v>-4400</v>
      </c>
      <c r="J423" s="461" t="e">
        <f>Inputs!#REF!*-1</f>
        <v>#REF!</v>
      </c>
      <c r="K423" s="461" t="e">
        <f>Inputs!#REF!*-1</f>
        <v>#REF!</v>
      </c>
    </row>
    <row r="424" spans="2:11" ht="15" customHeight="1" outlineLevel="1">
      <c r="B424" s="269" t="s">
        <v>24</v>
      </c>
      <c r="C424" s="269"/>
      <c r="F424" s="444">
        <v>-11130</v>
      </c>
      <c r="G424" s="445">
        <f>SUM(G423)</f>
        <v>-4000</v>
      </c>
      <c r="H424" s="445">
        <f>SUM(H423)</f>
        <v>-4300</v>
      </c>
      <c r="I424" s="445">
        <f>SUM(I423)</f>
        <v>-4400</v>
      </c>
      <c r="J424" s="461" t="e">
        <f>SUM(J423)</f>
        <v>#REF!</v>
      </c>
      <c r="K424" s="461" t="e">
        <f>SUM(K423)</f>
        <v>#REF!</v>
      </c>
    </row>
    <row r="425" spans="2:11" ht="15" customHeight="1" outlineLevel="1">
      <c r="B425" s="14" t="s">
        <v>252</v>
      </c>
      <c r="C425" s="14"/>
      <c r="F425" s="46"/>
      <c r="G425" s="19"/>
      <c r="H425" s="19"/>
      <c r="I425" s="19"/>
      <c r="J425" s="461"/>
      <c r="K425" s="461"/>
    </row>
    <row r="426" spans="2:11" ht="15" customHeight="1" outlineLevel="1">
      <c r="B426" s="14"/>
      <c r="C426" s="14"/>
      <c r="F426" s="46"/>
      <c r="G426" s="19"/>
      <c r="H426" s="19"/>
      <c r="I426" s="19"/>
      <c r="J426" s="461"/>
      <c r="K426" s="461"/>
    </row>
    <row r="427" spans="2:11" ht="15" customHeight="1" outlineLevel="1">
      <c r="B427" s="17" t="s">
        <v>254</v>
      </c>
      <c r="C427" s="17"/>
      <c r="F427" s="46"/>
      <c r="G427" s="19"/>
      <c r="H427" s="19"/>
      <c r="I427" s="19"/>
      <c r="J427" s="461"/>
      <c r="K427" s="461"/>
    </row>
    <row r="428" spans="2:11" ht="15" customHeight="1" outlineLevel="1">
      <c r="B428" s="269" t="s">
        <v>255</v>
      </c>
      <c r="C428" s="269"/>
      <c r="F428" s="46">
        <v>0</v>
      </c>
      <c r="G428" s="20">
        <f>Inputs!I449</f>
        <v>0</v>
      </c>
      <c r="H428" s="20">
        <f>Inputs!J449</f>
        <v>0</v>
      </c>
      <c r="I428" s="20">
        <f>Inputs!K449</f>
        <v>0</v>
      </c>
      <c r="J428" s="461">
        <f>Inputs!L449</f>
        <v>0</v>
      </c>
      <c r="K428" s="461">
        <f>Inputs!M449</f>
        <v>0</v>
      </c>
    </row>
    <row r="429" spans="2:11" ht="15" customHeight="1" outlineLevel="1">
      <c r="B429" s="269" t="s">
        <v>256</v>
      </c>
      <c r="C429" s="269"/>
      <c r="F429" s="46">
        <v>0</v>
      </c>
      <c r="G429" s="20">
        <f>Inputs!I481</f>
        <v>0</v>
      </c>
      <c r="H429" s="20">
        <f>Inputs!J481</f>
        <v>0</v>
      </c>
      <c r="I429" s="20">
        <f>Inputs!K481</f>
        <v>0</v>
      </c>
      <c r="J429" s="461">
        <f>Inputs!L481</f>
        <v>0</v>
      </c>
      <c r="K429" s="461">
        <f>Inputs!M481</f>
        <v>0</v>
      </c>
    </row>
    <row r="430" spans="2:11" ht="15" customHeight="1" outlineLevel="1">
      <c r="B430" s="269" t="s">
        <v>257</v>
      </c>
      <c r="C430" s="269"/>
      <c r="F430" s="46">
        <v>0</v>
      </c>
      <c r="G430" s="19">
        <f>Inputs!I506</f>
        <v>0</v>
      </c>
      <c r="H430" s="19">
        <f>Inputs!J506</f>
        <v>0</v>
      </c>
      <c r="I430" s="19">
        <f>Inputs!K506</f>
        <v>0</v>
      </c>
      <c r="J430" s="461">
        <f>Inputs!L506</f>
        <v>0</v>
      </c>
      <c r="K430" s="461">
        <f>Inputs!M506</f>
        <v>0</v>
      </c>
    </row>
    <row r="431" spans="2:11" ht="15" customHeight="1" outlineLevel="1">
      <c r="B431" s="269" t="s">
        <v>258</v>
      </c>
      <c r="C431" s="269"/>
      <c r="F431" s="46">
        <f>F413*0.2*-1</f>
        <v>-6736</v>
      </c>
      <c r="G431" s="46" t="e">
        <f>G413*40%*-1</f>
        <v>#REF!</v>
      </c>
      <c r="H431" s="46" t="e">
        <f>H413*40%*-1</f>
        <v>#REF!</v>
      </c>
      <c r="I431" s="46" t="e">
        <f>I413*40%*-1</f>
        <v>#REF!</v>
      </c>
      <c r="J431" s="461" t="e">
        <f>J413*40%*-1</f>
        <v>#REF!</v>
      </c>
      <c r="K431" s="461" t="e">
        <f>K413*40%*-1</f>
        <v>#REF!</v>
      </c>
    </row>
    <row r="432" spans="2:11" ht="15" customHeight="1" outlineLevel="1">
      <c r="B432" s="269" t="s">
        <v>24</v>
      </c>
      <c r="C432" s="269"/>
      <c r="F432" s="444">
        <v>-7216</v>
      </c>
      <c r="G432" s="445" t="e">
        <f>SUM(G428:G431)</f>
        <v>#REF!</v>
      </c>
      <c r="H432" s="445" t="e">
        <f>SUM(H428:H431)</f>
        <v>#REF!</v>
      </c>
      <c r="I432" s="445" t="e">
        <f>SUM(I428:I431)</f>
        <v>#REF!</v>
      </c>
      <c r="J432" s="461" t="e">
        <f>SUM(J428:J431)</f>
        <v>#REF!</v>
      </c>
      <c r="K432" s="461" t="e">
        <f>SUM(K428:K431)</f>
        <v>#REF!</v>
      </c>
    </row>
    <row r="433" spans="2:14" ht="15" customHeight="1" outlineLevel="1">
      <c r="B433" s="14" t="s">
        <v>252</v>
      </c>
      <c r="C433" s="14"/>
      <c r="F433" s="46"/>
      <c r="G433" s="448"/>
      <c r="H433" s="448"/>
      <c r="I433" s="19"/>
      <c r="J433" s="461"/>
      <c r="K433" s="461"/>
    </row>
    <row r="434" spans="2:14" ht="15" customHeight="1" outlineLevel="1">
      <c r="B434" s="14"/>
      <c r="C434" s="14"/>
      <c r="F434" s="46"/>
      <c r="G434" s="448"/>
      <c r="H434" s="448"/>
      <c r="I434" s="19"/>
      <c r="J434" s="461"/>
      <c r="K434" s="461"/>
    </row>
    <row r="435" spans="2:14" ht="15" customHeight="1" outlineLevel="1">
      <c r="B435" s="17" t="s">
        <v>259</v>
      </c>
      <c r="C435" s="17"/>
      <c r="F435" s="46"/>
      <c r="G435" s="19"/>
      <c r="H435" s="19"/>
      <c r="I435" s="19"/>
      <c r="J435" s="461"/>
      <c r="K435" s="461"/>
    </row>
    <row r="436" spans="2:14" ht="15" customHeight="1" outlineLevel="1">
      <c r="B436" s="269" t="s">
        <v>260</v>
      </c>
      <c r="C436" s="269"/>
      <c r="F436" s="46">
        <v>9364.5506000000005</v>
      </c>
      <c r="G436" s="19">
        <f>F438</f>
        <v>8409.9990999999991</v>
      </c>
      <c r="H436" s="19" t="e">
        <f>G438</f>
        <v>#REF!</v>
      </c>
      <c r="I436" s="19" t="e">
        <f>H438</f>
        <v>#REF!</v>
      </c>
      <c r="J436" s="461" t="e">
        <f>I438</f>
        <v>#REF!</v>
      </c>
      <c r="K436" s="461" t="e">
        <f>J438</f>
        <v>#REF!</v>
      </c>
    </row>
    <row r="437" spans="2:14" ht="15" customHeight="1" outlineLevel="1">
      <c r="B437" s="269" t="s">
        <v>261</v>
      </c>
      <c r="C437" s="269"/>
      <c r="F437" s="46">
        <f t="shared" ref="F437:K437" si="100">F419+F424+F432</f>
        <v>-954.5515000000014</v>
      </c>
      <c r="G437" s="19" t="e">
        <f t="shared" si="100"/>
        <v>#REF!</v>
      </c>
      <c r="H437" s="19" t="e">
        <f t="shared" si="100"/>
        <v>#REF!</v>
      </c>
      <c r="I437" s="19" t="e">
        <f t="shared" si="100"/>
        <v>#REF!</v>
      </c>
      <c r="J437" s="461" t="e">
        <f t="shared" si="100"/>
        <v>#REF!</v>
      </c>
      <c r="K437" s="461" t="e">
        <f t="shared" si="100"/>
        <v>#REF!</v>
      </c>
    </row>
    <row r="438" spans="2:14" ht="15" customHeight="1" outlineLevel="1" thickBot="1">
      <c r="B438" s="269" t="s">
        <v>262</v>
      </c>
      <c r="C438" s="269"/>
      <c r="F438" s="449">
        <v>8409.9990999999991</v>
      </c>
      <c r="G438" s="450" t="e">
        <f>SUM(G436:G437)</f>
        <v>#REF!</v>
      </c>
      <c r="H438" s="450" t="e">
        <f>SUM(H436:H437)</f>
        <v>#REF!</v>
      </c>
      <c r="I438" s="450" t="e">
        <f>SUM(I436:I437)</f>
        <v>#REF!</v>
      </c>
      <c r="J438" s="485" t="e">
        <f>SUM(J436:J437)</f>
        <v>#REF!</v>
      </c>
      <c r="K438" s="485" t="e">
        <f>SUM(K436:K437)</f>
        <v>#REF!</v>
      </c>
    </row>
    <row r="439" spans="2:14" ht="15" customHeight="1" outlineLevel="1"/>
    <row r="440" spans="2:14" ht="15" customHeight="1" outlineLevel="1"/>
    <row r="441" spans="2:14" ht="15" customHeight="1" outlineLevel="1"/>
    <row r="443" spans="2:14" ht="15" customHeight="1">
      <c r="B443" s="417" t="s">
        <v>263</v>
      </c>
      <c r="C443" s="413"/>
      <c r="D443" s="414"/>
      <c r="E443" s="414"/>
      <c r="F443" s="415"/>
      <c r="G443" s="415"/>
      <c r="H443" s="415"/>
      <c r="I443" s="415"/>
      <c r="J443" s="415"/>
      <c r="K443" s="415"/>
      <c r="L443" s="418"/>
      <c r="M443" s="415"/>
      <c r="N443" s="416"/>
    </row>
    <row r="444" spans="2:14" ht="15" customHeight="1" outlineLevel="2">
      <c r="B444" s="6"/>
      <c r="C444" s="7"/>
      <c r="D444" s="8"/>
      <c r="E444" s="8"/>
      <c r="F444" s="9"/>
      <c r="G444" s="9"/>
      <c r="H444" s="9"/>
      <c r="I444" s="9"/>
      <c r="J444" s="9"/>
      <c r="K444" s="9"/>
      <c r="L444" s="9"/>
      <c r="M444" s="9"/>
    </row>
    <row r="445" spans="2:14" ht="15" customHeight="1" outlineLevel="2" thickBot="1">
      <c r="B445" s="10" t="s">
        <v>19</v>
      </c>
      <c r="C445" s="7"/>
      <c r="D445" s="11"/>
      <c r="E445" s="11"/>
      <c r="F445" s="439">
        <f t="shared" ref="F445:K445" si="101">H279</f>
        <v>1</v>
      </c>
      <c r="G445" s="440">
        <f t="shared" si="101"/>
        <v>2</v>
      </c>
      <c r="H445" s="440">
        <f t="shared" si="101"/>
        <v>3</v>
      </c>
      <c r="I445" s="440">
        <f t="shared" si="101"/>
        <v>4</v>
      </c>
      <c r="J445" s="483">
        <f t="shared" si="101"/>
        <v>5</v>
      </c>
      <c r="K445" s="483">
        <f t="shared" si="101"/>
        <v>6</v>
      </c>
    </row>
    <row r="446" spans="2:14" ht="15" customHeight="1" outlineLevel="2">
      <c r="B446" s="10">
        <f>Inputs!B$6</f>
        <v>0</v>
      </c>
      <c r="C446" s="7"/>
      <c r="D446" s="11"/>
      <c r="E446" s="11"/>
      <c r="F446" s="11"/>
      <c r="G446" s="39"/>
      <c r="H446" s="39"/>
      <c r="I446" s="39"/>
      <c r="J446" s="458"/>
      <c r="K446" s="458"/>
    </row>
    <row r="447" spans="2:14" ht="15" customHeight="1" outlineLevel="2">
      <c r="B447" s="10"/>
      <c r="C447" s="7"/>
      <c r="D447" s="11"/>
      <c r="E447" s="11"/>
      <c r="F447" s="11"/>
      <c r="G447" s="39"/>
      <c r="H447" s="39"/>
      <c r="I447" s="39"/>
      <c r="J447" s="458"/>
      <c r="K447" s="458"/>
    </row>
    <row r="448" spans="2:14" ht="15" customHeight="1" outlineLevel="2">
      <c r="B448" s="17" t="s">
        <v>264</v>
      </c>
      <c r="C448" s="17"/>
      <c r="F448" s="27"/>
      <c r="G448" s="19"/>
      <c r="H448" s="19"/>
      <c r="I448" s="19"/>
      <c r="J448" s="461"/>
      <c r="K448" s="461"/>
    </row>
    <row r="449" spans="2:11" ht="15" customHeight="1" outlineLevel="2">
      <c r="B449" s="17"/>
      <c r="C449" s="17"/>
      <c r="F449" s="27"/>
      <c r="G449" s="19"/>
      <c r="H449" s="19"/>
      <c r="I449" s="19"/>
      <c r="J449" s="461"/>
      <c r="K449" s="461"/>
    </row>
    <row r="450" spans="2:11" ht="15" customHeight="1" outlineLevel="2">
      <c r="B450" s="269" t="s">
        <v>265</v>
      </c>
      <c r="C450" s="269"/>
      <c r="F450" s="123">
        <v>8409.9990999999991</v>
      </c>
      <c r="G450" s="160" t="e">
        <f>G438</f>
        <v>#REF!</v>
      </c>
      <c r="H450" s="160" t="e">
        <f>H438</f>
        <v>#REF!</v>
      </c>
      <c r="I450" s="160" t="e">
        <f>I438</f>
        <v>#REF!</v>
      </c>
      <c r="J450" s="469" t="e">
        <f>J438</f>
        <v>#REF!</v>
      </c>
      <c r="K450" s="469" t="e">
        <f>K438</f>
        <v>#REF!</v>
      </c>
    </row>
    <row r="451" spans="2:11" ht="15" customHeight="1" outlineLevel="2">
      <c r="B451" s="269" t="s">
        <v>2</v>
      </c>
      <c r="C451" s="269"/>
      <c r="F451" s="123">
        <f t="shared" ref="F451:K452" si="102">F136</f>
        <v>78000</v>
      </c>
      <c r="G451" s="103">
        <f t="shared" si="102"/>
        <v>98670</v>
      </c>
      <c r="H451" s="103">
        <f t="shared" si="102"/>
        <v>124817.54999999999</v>
      </c>
      <c r="I451" s="103">
        <f t="shared" si="102"/>
        <v>157894.20075000002</v>
      </c>
      <c r="J451" s="469" t="e">
        <f t="shared" si="102"/>
        <v>#REF!</v>
      </c>
      <c r="K451" s="469" t="e">
        <f t="shared" si="102"/>
        <v>#REF!</v>
      </c>
    </row>
    <row r="452" spans="2:11" ht="15" customHeight="1" outlineLevel="2">
      <c r="B452" s="269" t="s">
        <v>266</v>
      </c>
      <c r="C452" s="269"/>
      <c r="F452" s="194">
        <f t="shared" si="102"/>
        <v>71000</v>
      </c>
      <c r="G452" s="407">
        <f t="shared" si="102"/>
        <v>79074</v>
      </c>
      <c r="H452" s="407">
        <f t="shared" si="102"/>
        <v>87778.557000000015</v>
      </c>
      <c r="I452" s="407">
        <f t="shared" si="102"/>
        <v>97586.451531000028</v>
      </c>
      <c r="J452" s="469" t="e">
        <f t="shared" si="102"/>
        <v>#REF!</v>
      </c>
      <c r="K452" s="469" t="e">
        <f t="shared" si="102"/>
        <v>#REF!</v>
      </c>
    </row>
    <row r="453" spans="2:11" ht="15" customHeight="1" outlineLevel="2">
      <c r="B453" s="269" t="s">
        <v>267</v>
      </c>
      <c r="C453" s="269"/>
      <c r="F453" s="103">
        <f t="shared" ref="F453:K453" si="103">SUM(F450:F452)</f>
        <v>157409.99910000002</v>
      </c>
      <c r="G453" s="103" t="e">
        <f t="shared" si="103"/>
        <v>#REF!</v>
      </c>
      <c r="H453" s="103" t="e">
        <f t="shared" si="103"/>
        <v>#REF!</v>
      </c>
      <c r="I453" s="103" t="e">
        <f t="shared" si="103"/>
        <v>#REF!</v>
      </c>
      <c r="J453" s="469" t="e">
        <f t="shared" si="103"/>
        <v>#REF!</v>
      </c>
      <c r="K453" s="469" t="e">
        <f t="shared" si="103"/>
        <v>#REF!</v>
      </c>
    </row>
    <row r="454" spans="2:11" ht="15" customHeight="1" outlineLevel="2">
      <c r="B454" s="270"/>
      <c r="C454" s="270"/>
      <c r="F454" s="451"/>
      <c r="G454" s="45"/>
      <c r="H454" s="45"/>
      <c r="I454" s="45"/>
      <c r="J454" s="486"/>
      <c r="K454" s="486"/>
    </row>
    <row r="455" spans="2:11" ht="15" customHeight="1" outlineLevel="2">
      <c r="B455" s="269" t="s">
        <v>121</v>
      </c>
      <c r="C455" s="269"/>
      <c r="F455" s="451">
        <f>Inputs!L95</f>
        <v>65014</v>
      </c>
      <c r="G455" s="45" t="e">
        <f>I221</f>
        <v>#REF!</v>
      </c>
      <c r="H455" s="45" t="e">
        <f>J221</f>
        <v>#REF!</v>
      </c>
      <c r="I455" s="45" t="e">
        <f>K221</f>
        <v>#REF!</v>
      </c>
      <c r="J455" s="486" t="e">
        <f>L221</f>
        <v>#REF!</v>
      </c>
      <c r="K455" s="486" t="e">
        <f>M221</f>
        <v>#REF!</v>
      </c>
    </row>
    <row r="456" spans="2:11" ht="15" customHeight="1" outlineLevel="2">
      <c r="B456" s="269" t="s">
        <v>280</v>
      </c>
      <c r="C456" s="269"/>
      <c r="D456" s="448"/>
      <c r="F456" s="451">
        <v>221048</v>
      </c>
      <c r="G456" s="451">
        <f>G480</f>
        <v>223306.02590000001</v>
      </c>
      <c r="H456" s="451">
        <f>H480</f>
        <v>225238.5509</v>
      </c>
      <c r="I456" s="451">
        <f>I480</f>
        <v>226917.57590000005</v>
      </c>
      <c r="J456" s="486">
        <v>231832.12089999992</v>
      </c>
      <c r="K456" s="486">
        <v>232954.68190000008</v>
      </c>
    </row>
    <row r="457" spans="2:11" ht="15" customHeight="1" outlineLevel="2">
      <c r="B457" s="269"/>
      <c r="C457" s="269"/>
      <c r="D457" s="448"/>
      <c r="F457" s="451"/>
      <c r="G457" s="45"/>
      <c r="H457" s="45"/>
      <c r="I457" s="45"/>
      <c r="J457" s="486"/>
      <c r="K457" s="486"/>
    </row>
    <row r="458" spans="2:11" ht="15" customHeight="1" outlineLevel="2" thickBot="1">
      <c r="B458" s="269" t="s">
        <v>268</v>
      </c>
      <c r="C458" s="270"/>
      <c r="F458" s="452">
        <f t="shared" ref="F458:K458" si="104">SUM(F453:F456)</f>
        <v>443471.99910000002</v>
      </c>
      <c r="G458" s="452" t="e">
        <f t="shared" si="104"/>
        <v>#REF!</v>
      </c>
      <c r="H458" s="452" t="e">
        <f t="shared" si="104"/>
        <v>#REF!</v>
      </c>
      <c r="I458" s="452" t="e">
        <f t="shared" si="104"/>
        <v>#REF!</v>
      </c>
      <c r="J458" s="487" t="e">
        <f t="shared" si="104"/>
        <v>#REF!</v>
      </c>
      <c r="K458" s="487" t="e">
        <f t="shared" si="104"/>
        <v>#REF!</v>
      </c>
    </row>
    <row r="459" spans="2:11" ht="15" customHeight="1" outlineLevel="2">
      <c r="B459" s="14"/>
      <c r="C459" s="14"/>
      <c r="F459" s="451"/>
      <c r="G459" s="45"/>
      <c r="H459" s="45"/>
      <c r="I459" s="45"/>
      <c r="J459" s="486"/>
      <c r="K459" s="486"/>
    </row>
    <row r="460" spans="2:11" ht="15" customHeight="1" outlineLevel="2">
      <c r="B460" s="17"/>
      <c r="C460" s="17"/>
      <c r="F460" s="451"/>
      <c r="G460" s="45"/>
      <c r="H460" s="45"/>
      <c r="I460" s="45"/>
      <c r="J460" s="486"/>
      <c r="K460" s="486"/>
    </row>
    <row r="461" spans="2:11" ht="15" customHeight="1" outlineLevel="2">
      <c r="B461" s="17" t="s">
        <v>269</v>
      </c>
      <c r="C461" s="17"/>
      <c r="F461" s="451"/>
      <c r="G461" s="45"/>
      <c r="H461" s="45"/>
      <c r="I461" s="45"/>
      <c r="J461" s="486"/>
      <c r="K461" s="486"/>
    </row>
    <row r="462" spans="2:11" ht="15" customHeight="1" outlineLevel="2">
      <c r="B462" s="17"/>
      <c r="C462" s="17"/>
      <c r="F462" s="451"/>
      <c r="G462" s="45"/>
      <c r="H462" s="45"/>
      <c r="I462" s="45"/>
      <c r="J462" s="486"/>
      <c r="K462" s="486"/>
    </row>
    <row r="463" spans="2:11" ht="15" customHeight="1" outlineLevel="2">
      <c r="B463" s="269" t="s">
        <v>5</v>
      </c>
      <c r="C463" s="269"/>
      <c r="F463" s="451">
        <f t="shared" ref="F463:K463" si="105">F138</f>
        <v>106500</v>
      </c>
      <c r="G463" s="45">
        <f t="shared" si="105"/>
        <v>118610.99999999997</v>
      </c>
      <c r="H463" s="45">
        <f t="shared" si="105"/>
        <v>131667.83550000002</v>
      </c>
      <c r="I463" s="45">
        <f t="shared" si="105"/>
        <v>146379.67729650001</v>
      </c>
      <c r="J463" s="486" t="e">
        <f t="shared" si="105"/>
        <v>#REF!</v>
      </c>
      <c r="K463" s="486" t="e">
        <f t="shared" si="105"/>
        <v>#REF!</v>
      </c>
    </row>
    <row r="464" spans="2:11" ht="15" customHeight="1" outlineLevel="2">
      <c r="B464" s="269"/>
      <c r="C464" s="269"/>
      <c r="D464" s="46"/>
      <c r="F464" s="123">
        <v>0</v>
      </c>
      <c r="G464" s="160">
        <f>Inputs!I484</f>
        <v>0</v>
      </c>
      <c r="H464" s="160">
        <f>Inputs!J484</f>
        <v>0</v>
      </c>
      <c r="I464" s="160">
        <f>Inputs!K484</f>
        <v>0</v>
      </c>
      <c r="J464" s="469">
        <f>Inputs!L484</f>
        <v>0</v>
      </c>
      <c r="K464" s="469">
        <f>Inputs!M484</f>
        <v>0</v>
      </c>
    </row>
    <row r="465" spans="2:11" ht="15" customHeight="1" outlineLevel="2">
      <c r="B465" s="269" t="s">
        <v>270</v>
      </c>
      <c r="C465" s="269"/>
      <c r="F465" s="453">
        <f t="shared" ref="F465:K465" si="106">SUM(F463:F464)</f>
        <v>106500</v>
      </c>
      <c r="G465" s="453">
        <f t="shared" si="106"/>
        <v>118610.99999999997</v>
      </c>
      <c r="H465" s="453">
        <f t="shared" si="106"/>
        <v>131667.83550000002</v>
      </c>
      <c r="I465" s="453">
        <f t="shared" si="106"/>
        <v>146379.67729650001</v>
      </c>
      <c r="J465" s="486" t="e">
        <f t="shared" si="106"/>
        <v>#REF!</v>
      </c>
      <c r="K465" s="486" t="e">
        <f t="shared" si="106"/>
        <v>#REF!</v>
      </c>
    </row>
    <row r="466" spans="2:11" ht="15" customHeight="1" outlineLevel="2">
      <c r="B466" s="270"/>
      <c r="C466" s="270"/>
      <c r="F466" s="451"/>
      <c r="G466" s="45"/>
      <c r="H466" s="45"/>
      <c r="I466" s="45"/>
      <c r="J466" s="486"/>
      <c r="K466" s="486"/>
    </row>
    <row r="467" spans="2:11" ht="15" customHeight="1" outlineLevel="2">
      <c r="B467" s="269" t="s">
        <v>44</v>
      </c>
      <c r="C467" s="269"/>
      <c r="F467" s="451">
        <v>10028</v>
      </c>
      <c r="G467" s="454" t="e">
        <f>F467-H110</f>
        <v>#REF!</v>
      </c>
      <c r="H467" s="454" t="e">
        <f>G467-I110</f>
        <v>#REF!</v>
      </c>
      <c r="I467" s="454" t="e">
        <f>H467-J110</f>
        <v>#REF!</v>
      </c>
      <c r="J467" s="486" t="e">
        <f>I467-K110</f>
        <v>#REF!</v>
      </c>
      <c r="K467" s="486" t="e">
        <f>J467-L110</f>
        <v>#REF!</v>
      </c>
    </row>
    <row r="468" spans="2:11" ht="15" customHeight="1" outlineLevel="2">
      <c r="B468" s="269" t="s">
        <v>271</v>
      </c>
      <c r="C468" s="269"/>
      <c r="F468" s="451">
        <v>0</v>
      </c>
      <c r="G468" s="45">
        <f>Inputs!I452</f>
        <v>0</v>
      </c>
      <c r="H468" s="45">
        <f>Inputs!J452</f>
        <v>0</v>
      </c>
      <c r="I468" s="45">
        <f>Inputs!K452</f>
        <v>0</v>
      </c>
      <c r="J468" s="486">
        <f>Inputs!L452</f>
        <v>0</v>
      </c>
      <c r="K468" s="486">
        <f>Inputs!M452</f>
        <v>0</v>
      </c>
    </row>
    <row r="469" spans="2:11" ht="15" customHeight="1" outlineLevel="2">
      <c r="B469" s="269" t="s">
        <v>272</v>
      </c>
      <c r="C469" s="269"/>
      <c r="F469" s="453">
        <f t="shared" ref="F469:K469" si="107">SUM(F465:F468)</f>
        <v>116528</v>
      </c>
      <c r="G469" s="453" t="e">
        <f t="shared" si="107"/>
        <v>#REF!</v>
      </c>
      <c r="H469" s="453" t="e">
        <f t="shared" si="107"/>
        <v>#REF!</v>
      </c>
      <c r="I469" s="453" t="e">
        <f t="shared" si="107"/>
        <v>#REF!</v>
      </c>
      <c r="J469" s="486" t="e">
        <f t="shared" si="107"/>
        <v>#REF!</v>
      </c>
      <c r="K469" s="486" t="e">
        <f t="shared" si="107"/>
        <v>#REF!</v>
      </c>
    </row>
    <row r="470" spans="2:11" ht="15" customHeight="1" outlineLevel="2">
      <c r="B470" s="270"/>
      <c r="C470" s="270"/>
      <c r="F470" s="451"/>
      <c r="G470" s="45"/>
      <c r="H470" s="45"/>
      <c r="I470" s="45"/>
      <c r="J470" s="486"/>
      <c r="K470" s="486"/>
    </row>
    <row r="471" spans="2:11" ht="15" customHeight="1" outlineLevel="2">
      <c r="B471" s="270"/>
      <c r="C471" s="270"/>
      <c r="F471" s="451"/>
      <c r="G471" s="45"/>
      <c r="H471" s="45"/>
      <c r="I471" s="45"/>
      <c r="J471" s="486"/>
      <c r="K471" s="486"/>
    </row>
    <row r="472" spans="2:11" ht="15" customHeight="1" outlineLevel="2">
      <c r="B472" s="17" t="s">
        <v>273</v>
      </c>
      <c r="C472" s="17"/>
      <c r="F472" s="451"/>
      <c r="G472" s="45"/>
      <c r="H472" s="45"/>
      <c r="I472" s="45"/>
      <c r="J472" s="486"/>
      <c r="K472" s="486"/>
    </row>
    <row r="473" spans="2:11" ht="15" customHeight="1" outlineLevel="2">
      <c r="B473" s="17"/>
      <c r="C473" s="17"/>
      <c r="F473" s="451"/>
      <c r="G473" s="45"/>
      <c r="H473" s="45"/>
      <c r="I473" s="45"/>
      <c r="J473" s="486"/>
      <c r="K473" s="486"/>
    </row>
    <row r="474" spans="2:11" ht="15" customHeight="1" outlineLevel="2">
      <c r="B474" s="269" t="s">
        <v>274</v>
      </c>
      <c r="C474" s="269"/>
      <c r="F474" s="451">
        <v>300000</v>
      </c>
      <c r="G474" s="451">
        <v>300000</v>
      </c>
      <c r="H474" s="451">
        <v>300000</v>
      </c>
      <c r="I474" s="451">
        <v>300000</v>
      </c>
      <c r="J474" s="486">
        <v>300000</v>
      </c>
      <c r="K474" s="486">
        <v>300000</v>
      </c>
    </row>
    <row r="475" spans="2:11" ht="15" customHeight="1" outlineLevel="2">
      <c r="B475" s="269" t="s">
        <v>275</v>
      </c>
      <c r="C475" s="269"/>
      <c r="F475" s="451">
        <f>F413+F431</f>
        <v>26944</v>
      </c>
      <c r="G475" s="454" t="e">
        <f>G413+G431+F475</f>
        <v>#REF!</v>
      </c>
      <c r="H475" s="454" t="e">
        <f>H413+H431+G475</f>
        <v>#REF!</v>
      </c>
      <c r="I475" s="454" t="e">
        <f>I413+I431+H475</f>
        <v>#REF!</v>
      </c>
      <c r="J475" s="486" t="e">
        <f>J413+J431+I475</f>
        <v>#REF!</v>
      </c>
      <c r="K475" s="486" t="e">
        <f>K413+K431+J475</f>
        <v>#REF!</v>
      </c>
    </row>
    <row r="476" spans="2:11" ht="15" customHeight="1" outlineLevel="2">
      <c r="B476" s="269" t="s">
        <v>276</v>
      </c>
      <c r="C476" s="269"/>
      <c r="F476" s="453">
        <f t="shared" ref="F476:K476" si="108">SUM(F474:F475)</f>
        <v>326944</v>
      </c>
      <c r="G476" s="453" t="e">
        <f t="shared" si="108"/>
        <v>#REF!</v>
      </c>
      <c r="H476" s="453" t="e">
        <f t="shared" si="108"/>
        <v>#REF!</v>
      </c>
      <c r="I476" s="453" t="e">
        <f t="shared" si="108"/>
        <v>#REF!</v>
      </c>
      <c r="J476" s="486" t="e">
        <f t="shared" si="108"/>
        <v>#REF!</v>
      </c>
      <c r="K476" s="486" t="e">
        <f t="shared" si="108"/>
        <v>#REF!</v>
      </c>
    </row>
    <row r="477" spans="2:11" ht="15" customHeight="1" outlineLevel="2">
      <c r="B477" s="270"/>
      <c r="C477" s="270"/>
      <c r="F477" s="455"/>
      <c r="G477" s="18"/>
      <c r="H477" s="18"/>
      <c r="I477" s="18"/>
      <c r="J477" s="488"/>
      <c r="K477" s="488"/>
    </row>
    <row r="478" spans="2:11" ht="15" customHeight="1" outlineLevel="2">
      <c r="B478" s="270"/>
      <c r="C478" s="270"/>
      <c r="F478" s="455"/>
      <c r="G478" s="18"/>
      <c r="H478" s="18"/>
      <c r="I478" s="18"/>
      <c r="J478" s="488"/>
      <c r="K478" s="488"/>
    </row>
    <row r="479" spans="2:11" ht="15" customHeight="1" outlineLevel="2" thickBot="1">
      <c r="B479" s="269" t="s">
        <v>277</v>
      </c>
      <c r="C479" s="270"/>
      <c r="F479" s="452">
        <f t="shared" ref="F479:K479" si="109">F476+F469</f>
        <v>443472</v>
      </c>
      <c r="G479" s="452" t="e">
        <f t="shared" si="109"/>
        <v>#REF!</v>
      </c>
      <c r="H479" s="452" t="e">
        <f t="shared" si="109"/>
        <v>#REF!</v>
      </c>
      <c r="I479" s="452" t="e">
        <f t="shared" si="109"/>
        <v>#REF!</v>
      </c>
      <c r="J479" s="487" t="e">
        <f t="shared" si="109"/>
        <v>#REF!</v>
      </c>
      <c r="K479" s="487" t="e">
        <f t="shared" si="109"/>
        <v>#REF!</v>
      </c>
    </row>
    <row r="480" spans="2:11" ht="15" customHeight="1" outlineLevel="2">
      <c r="B480" s="14"/>
      <c r="C480" s="14"/>
      <c r="F480" s="45"/>
      <c r="G480" s="19">
        <v>223306.02590000001</v>
      </c>
      <c r="H480" s="19">
        <v>225238.5509</v>
      </c>
      <c r="I480" s="19">
        <v>226917.57590000005</v>
      </c>
      <c r="J480" s="461"/>
      <c r="K480" s="461"/>
    </row>
    <row r="481" spans="2:11" ht="15" customHeight="1" outlineLevel="2">
      <c r="B481" s="14"/>
      <c r="C481" s="14"/>
      <c r="F481" s="45"/>
      <c r="G481" s="19"/>
      <c r="H481" s="19"/>
      <c r="I481" s="19"/>
      <c r="J481" s="461"/>
      <c r="K481" s="461"/>
    </row>
    <row r="482" spans="2:11" ht="15" customHeight="1" outlineLevel="2">
      <c r="B482" s="272" t="s">
        <v>278</v>
      </c>
      <c r="C482" s="272"/>
      <c r="F482" s="456">
        <f t="shared" ref="F482:I482" si="110">ROUND(F479-F458,0)</f>
        <v>0</v>
      </c>
      <c r="G482" s="456" t="e">
        <f t="shared" si="110"/>
        <v>#REF!</v>
      </c>
      <c r="H482" s="456" t="e">
        <f t="shared" si="110"/>
        <v>#REF!</v>
      </c>
      <c r="I482" s="456" t="e">
        <f t="shared" si="110"/>
        <v>#REF!</v>
      </c>
      <c r="J482" s="489"/>
      <c r="K482" s="489"/>
    </row>
  </sheetData>
  <conditionalFormatting sqref="B90 B92">
    <cfRule type="containsText" dxfId="6" priority="3" operator="containsText" text="OK">
      <formula>NOT(ISERROR(SEARCH("OK",B90)))</formula>
    </cfRule>
    <cfRule type="containsText" dxfId="5" priority="4" operator="containsText" text="ERROR">
      <formula>NOT(ISERROR(SEARCH("ERROR",B90)))</formula>
    </cfRule>
  </conditionalFormatting>
  <conditionalFormatting sqref="D244">
    <cfRule type="expression" dxfId="4" priority="13">
      <formula>$D$244=1</formula>
    </cfRule>
  </conditionalFormatting>
  <conditionalFormatting sqref="D286">
    <cfRule type="expression" dxfId="3" priority="12">
      <formula>$D$286=1</formula>
    </cfRule>
  </conditionalFormatting>
  <conditionalFormatting sqref="F482:K482">
    <cfRule type="expression" dxfId="2" priority="1">
      <formula>F482&lt;&gt;0</formula>
    </cfRule>
  </conditionalFormatting>
  <conditionalFormatting sqref="H36:M36">
    <cfRule type="expression" dxfId="1" priority="17">
      <formula>H$36=1</formula>
    </cfRule>
  </conditionalFormatting>
  <conditionalFormatting sqref="I351:N351">
    <cfRule type="expression" dxfId="0" priority="2">
      <formula>I351=1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8" orientation="landscape" r:id="rId1"/>
  <headerFooter>
    <oddFooter>&amp;L&amp;"Open Sans,Bold"&amp;10&amp;K002060DCF Valuation Modeling&amp;C&amp;"Open Sans,Bold"&amp;10&amp;K002060Page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acheModel xmlns:xsd="http://www.w3.org/2001/XMLSchema" xmlns:xsi="http://www.w3.org/2001/XMLSchema-instance" xmlns="TagniFiModelState">
  <SerializedJson>[]</SerializedJson>
</CacheModel>
</file>

<file path=customXml/itemProps1.xml><?xml version="1.0" encoding="utf-8"?>
<ds:datastoreItem xmlns:ds="http://schemas.openxmlformats.org/officeDocument/2006/customXml" ds:itemID="{F87FA3EF-5CAE-45FE-8E65-0323A68546CC}">
  <ds:schemaRefs>
    <ds:schemaRef ds:uri="http://www.w3.org/2001/XMLSchema"/>
    <ds:schemaRef ds:uri="TagniFiModelStat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Outputs</vt:lpstr>
      <vt:lpstr>Inputs</vt:lpstr>
      <vt:lpstr>Model</vt:lpstr>
      <vt:lpstr>Inputs!Print_Area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ماجد علي</dc:creator>
  <cp:keywords/>
  <dc:description/>
  <cp:lastModifiedBy>ماجد القفاري</cp:lastModifiedBy>
  <cp:revision/>
  <cp:lastPrinted>1899-12-30T05:00:00Z</cp:lastPrinted>
  <dcterms:created xsi:type="dcterms:W3CDTF">1899-12-30T05:00:00Z</dcterms:created>
  <dcterms:modified xsi:type="dcterms:W3CDTF">2026-06-03T07:19:21Z</dcterms:modified>
  <cp:category/>
  <cp:contentStatus/>
  <dc:language/>
  <cp:version/>
</cp:coreProperties>
</file>